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tabRatio="608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.a" sheetId="15" r:id="rId15"/>
    <sheet name="13.b" sheetId="16" r:id="rId16"/>
    <sheet name="14" sheetId="17" r:id="rId17"/>
  </sheets>
  <externalReferences>
    <externalReference r:id="rId20"/>
  </externalReferences>
  <definedNames>
    <definedName name="_GoBack" localSheetId="1">'2'!#REF!</definedName>
    <definedName name="_xlnm.Print_Titles" localSheetId="12">'11'!$1:$3</definedName>
    <definedName name="_xlnm.Print_Titles" localSheetId="14">'13.a'!$1:$1</definedName>
    <definedName name="_xlnm.Print_Titles" localSheetId="15">'13.b'!$1:$1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Area" localSheetId="2">'3'!$A$1:$AC$80</definedName>
    <definedName name="_xlnm.Print_Area" localSheetId="5">'5.a'!$A$1:$O$149</definedName>
    <definedName name="_xlnm.Print_Area" localSheetId="7">'6.a'!$A$1:$Q$774</definedName>
    <definedName name="_xlnm.Print_Area" localSheetId="10">'9'!$A$1:$O$8</definedName>
  </definedNames>
  <calcPr fullCalcOnLoad="1"/>
</workbook>
</file>

<file path=xl/sharedStrings.xml><?xml version="1.0" encoding="utf-8"?>
<sst xmlns="http://schemas.openxmlformats.org/spreadsheetml/2006/main" count="1994" uniqueCount="1532">
  <si>
    <t>Napsugár utcai valamint Űrhajós ovoda, bölcsőde intézményi fejlesztések, ill. pénzeszközátadás</t>
  </si>
  <si>
    <t>Ady Iskola intézményi fejlesztések támogatása</t>
  </si>
  <si>
    <t>Május 1. u. házhoz bekötő járda felújítása</t>
  </si>
  <si>
    <t xml:space="preserve"> -játszótér fenntartás a városrészekben</t>
  </si>
  <si>
    <t xml:space="preserve"> - Zegasztár</t>
  </si>
  <si>
    <t xml:space="preserve"> - Egerszegi füzetek</t>
  </si>
  <si>
    <t xml:space="preserve"> - kórus fesztivál</t>
  </si>
  <si>
    <t xml:space="preserve"> - 2018. évi állami hozzájárulás elszámolása </t>
  </si>
  <si>
    <t xml:space="preserve"> - 2019. évi állami hozzájárulás előleg visszafizetése </t>
  </si>
  <si>
    <t>3./6</t>
  </si>
  <si>
    <t>9./7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</si>
  <si>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</si>
  <si>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</si>
  <si>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</si>
  <si>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</si>
  <si>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</si>
  <si>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</si>
  <si>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</si>
  <si>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</si>
  <si>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</si>
  <si>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</si>
  <si>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</si>
  <si>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</si>
  <si>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</si>
  <si>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</si>
  <si>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</si>
  <si>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</si>
  <si>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</si>
  <si>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</si>
  <si>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</si>
  <si>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</si>
  <si>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</si>
  <si>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</si>
  <si>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</si>
  <si>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</si>
  <si>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</si>
  <si>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 xml:space="preserve"> - Ebergényi u.45.Hrsz:4581/5 alatti lőtér rekonstrukciós munkái pályázati támogatás</t>
  </si>
  <si>
    <t xml:space="preserve"> - Déli iparterület telek értékesítés 193/2018.(XI.21.)kgy.hat. Alapján</t>
  </si>
  <si>
    <t>Adó ASP bevezetése miatt szükségessé váló hivatali fejlesztés</t>
  </si>
  <si>
    <t>Térfigyelő kamerák bővítése, megújítása</t>
  </si>
  <si>
    <t>Befektetés támogatás a Déli iparterület telek értékesítés</t>
  </si>
  <si>
    <t>ZEGESZ részére étkezési kártyák egyszeri cseréjéhez</t>
  </si>
  <si>
    <t xml:space="preserve"> - ZTE Női Kosárlabda Klub Kft.támogatása</t>
  </si>
  <si>
    <t>8./2.</t>
  </si>
  <si>
    <t>Temetői fejlesztések</t>
  </si>
  <si>
    <t>9./8</t>
  </si>
  <si>
    <t>Vis maior pályázatokhoz önrész</t>
  </si>
  <si>
    <t>5./10</t>
  </si>
  <si>
    <t>Holocaust emlékmű rekonstrukció</t>
  </si>
  <si>
    <t>4./48</t>
  </si>
  <si>
    <t>Fejlesztésekhez kapcsolódó útfelújítások</t>
  </si>
  <si>
    <t>9./9</t>
  </si>
  <si>
    <t>Információs táblák pótlása, kihelyezése</t>
  </si>
  <si>
    <t>4./49</t>
  </si>
  <si>
    <t>Buszvárók telepítése</t>
  </si>
  <si>
    <t>4./50</t>
  </si>
  <si>
    <t>4./51</t>
  </si>
  <si>
    <t>4./52</t>
  </si>
  <si>
    <t>Kossuth L. utca burkolatfelújítás (térkőcsere)</t>
  </si>
  <si>
    <t>Gyöngyvirág u. felújításának előkészítése</t>
  </si>
  <si>
    <t>Gyalogátkelő létesítése Hegyi u. -Posta u.</t>
  </si>
  <si>
    <t>Óvodák felújítása</t>
  </si>
  <si>
    <t>3./1./4</t>
  </si>
  <si>
    <t>Bölcsődék felújítása</t>
  </si>
  <si>
    <t>2./3</t>
  </si>
  <si>
    <t>Városi Hangverseny és Kiállítóterem beázásának megszüntetése</t>
  </si>
  <si>
    <t>Sportfeladatok</t>
  </si>
  <si>
    <t>Stadionhoz kapcsolódó felújítási munkák</t>
  </si>
  <si>
    <t>Aquacity felújítások</t>
  </si>
  <si>
    <t>Vásárcsarnok szabadtéri elárusító pavilonok beázásának megszüntetése</t>
  </si>
  <si>
    <t>Centrum áruház mögötti árufeltöltő alagút felújíítása</t>
  </si>
  <si>
    <t>Munkásszálló elektromos hálózat fejlesztése</t>
  </si>
  <si>
    <t>TOP-7.1.1-16-2016-00022 TOP CLLD Art mozi saját erós kiegészítés</t>
  </si>
  <si>
    <t>6./1</t>
  </si>
  <si>
    <t>6./2</t>
  </si>
  <si>
    <t>Előtervezések út- és közműépítési feladatokhoz</t>
  </si>
  <si>
    <t>Előtervezések magasépítési feladatokhoz</t>
  </si>
  <si>
    <t>KEHOP-5.4.1-16-2016-00433 Szemléletformálási programok</t>
  </si>
  <si>
    <t xml:space="preserve"> - KEHOP-5.4.1-16-2016-00433 Szemléletformálási programok</t>
  </si>
  <si>
    <t xml:space="preserve"> -  Zalaegerszeg keleti vízbázisról ellátott települések ívóvízminőségének javítása KEHOP projekt</t>
  </si>
  <si>
    <t xml:space="preserve"> - TOP-6.3.2-15-ZL1-2016-00001 Zöld Zala Part - Zala holtág revitalizációja és rekreációs célú vízparti sétány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</si>
  <si>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</si>
  <si>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</si>
  <si>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TOP-6.1.4-16-ZL1-2017-00003 Helyi termelői és kézműves piac kialakítása Zalaegerszegen - Göcsej Tudásközpont (nettó fiansz.)</t>
  </si>
  <si>
    <t xml:space="preserve"> - "Infrastrukturális fejlesztések Zalaegerszegen"</t>
  </si>
  <si>
    <t>2019. évi előirányzat</t>
  </si>
  <si>
    <t>4./53</t>
  </si>
  <si>
    <t>Járdák felújítása az Olai városrészben</t>
  </si>
  <si>
    <t>Járdák felújítása a Landorhegyi városrészben</t>
  </si>
  <si>
    <t>Nemzeti Ovi-Foci-Sport Program (Szent László utcai és Mikes K.utcsai tagóvodákban)önrész biztosítása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</si>
  <si>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</si>
  <si>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</si>
  <si>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</si>
  <si>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</si>
  <si>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</si>
  <si>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</si>
  <si>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</si>
  <si>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</si>
  <si>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</si>
  <si>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>2018. évi tervezett bevétel</t>
  </si>
  <si>
    <t xml:space="preserve">       - felsőfokú végzettségű kisgyermeknevelők</t>
  </si>
  <si>
    <t xml:space="preserve">       - bölcsődei dajkák,középfokú végzettségű kisgyermeknevelők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</si>
  <si>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</si>
  <si>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</si>
  <si>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</si>
  <si>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</si>
  <si>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</si>
  <si>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</si>
  <si>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</si>
  <si>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</si>
  <si>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</si>
  <si>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</si>
  <si>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7.) Államháztartáson belüli megelőlegezés visszafizetése</t>
  </si>
  <si>
    <t xml:space="preserve"> - Idősek Otthona bérleti díj (Kolping OSZISZ)</t>
  </si>
  <si>
    <t xml:space="preserve"> - Városi strand pancsoló medence bérleti díj</t>
  </si>
  <si>
    <t xml:space="preserve"> - belterületbe vonással kapcsolatos bevétel</t>
  </si>
  <si>
    <t>Belvárosrehabilitációhoz kapcsolódó fejlesztések (Lakásalapból)</t>
  </si>
  <si>
    <t>TOP program keretében megvalósuló projektek nem támogatott munkarészei, többletfeladatai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</si>
  <si>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</si>
  <si>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</si>
  <si>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</si>
  <si>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felnőtt játszótér üzemeltetése, karbantartása</t>
  </si>
  <si>
    <t xml:space="preserve"> - Göcseji Múzeum részére megelőlegezett támogatás visszafizetése</t>
  </si>
  <si>
    <t xml:space="preserve"> - méltányossági segély</t>
  </si>
  <si>
    <t xml:space="preserve"> - temetési segély</t>
  </si>
  <si>
    <t xml:space="preserve"> - átmeneti segély</t>
  </si>
  <si>
    <t>Lokális csapadékvízelvezetési munkák elvégzése</t>
  </si>
  <si>
    <t>Stadion u.1-3.parkoló felújítás</t>
  </si>
  <si>
    <t>3./1./3</t>
  </si>
  <si>
    <t>Dózsa Iskola játszótér fejlesztés</t>
  </si>
  <si>
    <t>1./3./2</t>
  </si>
  <si>
    <t>6.a/5</t>
  </si>
  <si>
    <t>Vágóhíd u.18. sz. atlétikai pálya korszerűsítés, bővítés</t>
  </si>
  <si>
    <t>6.a/6</t>
  </si>
  <si>
    <t>6.a/7</t>
  </si>
  <si>
    <t>Páterdombi u. parkoló kialakítása</t>
  </si>
  <si>
    <t xml:space="preserve">Kodály óvoda OVI-FOCI pályázathoz kapcsolódó járulékos munkák </t>
  </si>
  <si>
    <t>Szívhegyi út magánerős útfejlesztés</t>
  </si>
  <si>
    <t>Széna tér körül útjavítás</t>
  </si>
  <si>
    <t>Gógánvölgyi infrastruktúra fejlesztése és javítása</t>
  </si>
  <si>
    <t>Kodály kispark fejlesztése</t>
  </si>
  <si>
    <t>Szünidei étkeztetés</t>
  </si>
  <si>
    <t xml:space="preserve"> - lakásalap  maradványának bevonása</t>
  </si>
  <si>
    <t>*</t>
  </si>
  <si>
    <t>032020 Tűz- és katasztrófavéd. tevékenység</t>
  </si>
  <si>
    <t>084070 A fiatalok társ. integrációját segítő struktúra, szakmai szolgált. fejlesztése, működtetése</t>
  </si>
  <si>
    <t xml:space="preserve"> - Zalaegerszegi Teke Klub támogatása</t>
  </si>
  <si>
    <t xml:space="preserve"> - Zöldterületi Stratégia feladatai</t>
  </si>
  <si>
    <t>Landorhegyi Iskola fűtéskorszerűsítés és villámvédelem bővítése</t>
  </si>
  <si>
    <t>2.a/1.</t>
  </si>
  <si>
    <t>Volt Pais D. Ált. Iskola ivóvízrekonstrukció</t>
  </si>
  <si>
    <t>Vásárcsarnok esővízelvezető rendszerének részleges felújítása</t>
  </si>
  <si>
    <t xml:space="preserve"> - Vízügyi hatóságokkal kapcs. feladatok</t>
  </si>
  <si>
    <t xml:space="preserve"> - villamosenergia vásárlás</t>
  </si>
  <si>
    <t xml:space="preserve"> - magasépítési feladatokhoz kapcsolódó működési kiadások</t>
  </si>
  <si>
    <t xml:space="preserve"> - út- és közműépítési feladatokhoz kapcsolódó működési kiadások</t>
  </si>
  <si>
    <t xml:space="preserve"> - gyepmesteri tev. ellátásához eszköz és munkaruha biztosítása</t>
  </si>
  <si>
    <t xml:space="preserve"> - szirénák karbantartása, felülvizsgálata</t>
  </si>
  <si>
    <t xml:space="preserve"> - elektromos töltők üzemeltetése</t>
  </si>
  <si>
    <t xml:space="preserve"> - Északi Ipari Parkban létesült záportározó üzemeltetése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</si>
  <si>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</si>
  <si>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</si>
  <si>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</si>
  <si>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zárt csapadékvízelvezető létesítmények tisztítása</t>
  </si>
  <si>
    <t>105020 Foglalkoztatást elősegítő képz. és egyéb támog.</t>
  </si>
  <si>
    <t>152920</t>
  </si>
  <si>
    <t>17194**</t>
  </si>
  <si>
    <t xml:space="preserve"> - képviselők, bizottsági tagok és tisztségviselők tiszteletdíja</t>
  </si>
  <si>
    <t>Jogi és igazgatási feladatok működési kiadásai összesen:</t>
  </si>
  <si>
    <t xml:space="preserve"> - kulturális városi rendezvények</t>
  </si>
  <si>
    <t xml:space="preserve"> - lépcsők,sétányok, támfalak, korlátok javítása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</si>
  <si>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</si>
  <si>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</si>
  <si>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</si>
  <si>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</si>
  <si>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</si>
  <si>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</si>
  <si>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</si>
  <si>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</si>
  <si>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</si>
  <si>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</si>
  <si>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</si>
  <si>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</si>
  <si>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</si>
  <si>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</si>
  <si>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</si>
  <si>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</si>
  <si>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</si>
  <si>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</si>
  <si>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</si>
  <si>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</si>
  <si>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</si>
  <si>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</si>
  <si>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</si>
  <si>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</si>
  <si>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</si>
  <si>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</si>
  <si>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</si>
  <si>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</si>
  <si>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</si>
  <si>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</si>
  <si>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</si>
  <si>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</si>
  <si>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</si>
  <si>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</si>
  <si>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Értékesítési és forgalmi adók (iparűzési adó)</t>
  </si>
  <si>
    <t xml:space="preserve"> - Sportlétesítmények üzemeltetésének támogatása</t>
  </si>
  <si>
    <t>Boldogasszony  kápolna építése a Gébárti tónál</t>
  </si>
  <si>
    <t xml:space="preserve"> - egyéb ingatlanhasznosítás (nem lakáscélú helyiségek bérl.díja)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</si>
  <si>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</si>
  <si>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</si>
  <si>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</si>
  <si>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</si>
  <si>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</si>
  <si>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</si>
  <si>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</si>
  <si>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</si>
  <si>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</si>
  <si>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>Támogatott lakások elkülönített lakbérbevételéből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</si>
  <si>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</si>
  <si>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</si>
  <si>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</si>
  <si>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</si>
  <si>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</si>
  <si>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</si>
  <si>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</si>
  <si>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</si>
  <si>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</si>
  <si>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 xml:space="preserve"> - önk. által kezelt ing.közös ktg.közüz.díj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</si>
  <si>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</si>
  <si>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</si>
  <si>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</si>
  <si>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</si>
  <si>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</si>
  <si>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</si>
  <si>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</si>
  <si>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</si>
  <si>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</si>
  <si>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</si>
  <si>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</si>
  <si>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Zalaegerszegi Vívó Egylet támogatása</t>
  </si>
  <si>
    <t xml:space="preserve"> - Zalaegerszegi Kerékpáros SE támogatása</t>
  </si>
  <si>
    <t>Beruházási kiadások:</t>
  </si>
  <si>
    <t xml:space="preserve"> - tüzifa támogatás</t>
  </si>
  <si>
    <t xml:space="preserve"> - nyári táboroztatás</t>
  </si>
  <si>
    <t xml:space="preserve"> - Magyar Kultúra Napja</t>
  </si>
  <si>
    <t xml:space="preserve"> - fogászati ügyelet támogatása</t>
  </si>
  <si>
    <t xml:space="preserve"> - Restart sport fesztivál</t>
  </si>
  <si>
    <t xml:space="preserve"> - önkormányzati tulajdonú erdők ápolása, fenntartása</t>
  </si>
  <si>
    <t xml:space="preserve"> - csapadékvízelvezető és árvízvédelmi létesítmények fenntartása,hibaelhárítás,sürgősségi feladatok</t>
  </si>
  <si>
    <t>10./1.</t>
  </si>
  <si>
    <t>10./1./1</t>
  </si>
  <si>
    <t>10./1a./1</t>
  </si>
  <si>
    <t>10./1a./2</t>
  </si>
  <si>
    <t>10./1a./3</t>
  </si>
  <si>
    <t>10./1a./4</t>
  </si>
  <si>
    <t>10./1a./5</t>
  </si>
  <si>
    <t>10./1a./6</t>
  </si>
  <si>
    <t>10./1a./7</t>
  </si>
  <si>
    <t>10./1a./8</t>
  </si>
  <si>
    <t>10./1a./9</t>
  </si>
  <si>
    <t>10./1a./10</t>
  </si>
  <si>
    <t>10./1a./11</t>
  </si>
  <si>
    <t>10./1a./12</t>
  </si>
  <si>
    <t>10./1a./13</t>
  </si>
  <si>
    <t>10./1a./14</t>
  </si>
  <si>
    <t>10./1a./15</t>
  </si>
  <si>
    <t>10./1a./16</t>
  </si>
  <si>
    <t>10./1a./17</t>
  </si>
  <si>
    <t>10./1a./18</t>
  </si>
  <si>
    <t>10./1a./19</t>
  </si>
  <si>
    <t>10./1a./20</t>
  </si>
  <si>
    <t>10./1a./21</t>
  </si>
  <si>
    <t>10./1a./22</t>
  </si>
  <si>
    <t>10./1a./23</t>
  </si>
  <si>
    <t>10./1a./24</t>
  </si>
  <si>
    <t>10./1a./25</t>
  </si>
  <si>
    <t>10./1a./26</t>
  </si>
  <si>
    <t>10./1a./27</t>
  </si>
  <si>
    <t>10./1a./28</t>
  </si>
  <si>
    <t>10./1a./29</t>
  </si>
  <si>
    <t>10./1a./30</t>
  </si>
  <si>
    <t>10./3.</t>
  </si>
  <si>
    <t>10./3./1.</t>
  </si>
  <si>
    <t>10./3.a./1</t>
  </si>
  <si>
    <t>10./3.a./2</t>
  </si>
  <si>
    <t>10./3.a./3</t>
  </si>
  <si>
    <t>10./3.a./4</t>
  </si>
  <si>
    <t>10./4.</t>
  </si>
  <si>
    <t>10./4.1.</t>
  </si>
  <si>
    <t>10./4.a/1</t>
  </si>
  <si>
    <t>10./4.a/2</t>
  </si>
  <si>
    <t>10./4.a/3</t>
  </si>
  <si>
    <t>10./4.a/4</t>
  </si>
  <si>
    <t>10./5.</t>
  </si>
  <si>
    <t>10./5a./1</t>
  </si>
  <si>
    <t>10./5a./2</t>
  </si>
  <si>
    <t>10./5a./3</t>
  </si>
  <si>
    <t>10./5a./4</t>
  </si>
  <si>
    <t>10./5a./5</t>
  </si>
  <si>
    <t>10./5a./6</t>
  </si>
  <si>
    <t xml:space="preserve"> - államkötvény  vásárlása átmenetileg szabad fejlesztési támogatásból</t>
  </si>
  <si>
    <t>10./2.a</t>
  </si>
  <si>
    <t xml:space="preserve"> - egyéb létesítményi működési kiadások</t>
  </si>
  <si>
    <t xml:space="preserve"> - turisztikai feladatok</t>
  </si>
  <si>
    <t>Kiadás összesen</t>
  </si>
  <si>
    <t>Főépítészi feladatok működési kiadásai</t>
  </si>
  <si>
    <t>22190**</t>
  </si>
  <si>
    <t xml:space="preserve"> - felsőoktatási ösztöndíj és támogatás</t>
  </si>
  <si>
    <t xml:space="preserve"> - Zalaegerszegi Thai  Box   SE támogatása</t>
  </si>
  <si>
    <t>4.a/8</t>
  </si>
  <si>
    <t>4.a/9</t>
  </si>
  <si>
    <t>Városépítészet működési kiadások:</t>
  </si>
  <si>
    <t xml:space="preserve"> Beruházási kiadások </t>
  </si>
  <si>
    <t>6.a/1</t>
  </si>
  <si>
    <t>6.a/2</t>
  </si>
  <si>
    <t>6.a/3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</si>
  <si>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</si>
  <si>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</si>
  <si>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</si>
  <si>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</si>
  <si>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</si>
  <si>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</si>
  <si>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</si>
  <si>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</si>
  <si>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>9.a/4</t>
  </si>
  <si>
    <t>9.a/5</t>
  </si>
  <si>
    <t>9.a/6</t>
  </si>
  <si>
    <t>4./1</t>
  </si>
  <si>
    <t>"Infrastrukturális fejlesztések Zalaegerszegen"</t>
  </si>
  <si>
    <t>9./1.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</si>
  <si>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</si>
  <si>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</si>
  <si>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</si>
  <si>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</si>
  <si>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>Tartalék összesen: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</si>
  <si>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</si>
  <si>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</si>
  <si>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</si>
  <si>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</si>
  <si>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</si>
  <si>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 xml:space="preserve"> - Zala Megyei Népművészeti Egyesület kölcsön törlesztés</t>
  </si>
  <si>
    <t xml:space="preserve"> - intézményi pályázatokhoz megelőlegezett pénzeszköz</t>
  </si>
  <si>
    <t xml:space="preserve"> - Formula Student East rendezvény támogatása Járműmérnökök Egyesülete részére</t>
  </si>
  <si>
    <t xml:space="preserve"> - téli rezsicsökkentésben korábban nem részesült háztartások egyszeri támogatása</t>
  </si>
  <si>
    <t xml:space="preserve"> - UNICEF gyermekbarát település pályázat</t>
  </si>
  <si>
    <t xml:space="preserve"> - Ispita Alapítvány működési támogatása</t>
  </si>
  <si>
    <t>Intézményi fejlesztések és felújítások</t>
  </si>
  <si>
    <t>6.a/8</t>
  </si>
  <si>
    <t xml:space="preserve"> - megvalósult projektekhez kapcsolódó üzemeltetési és igénybevételi díj</t>
  </si>
  <si>
    <t xml:space="preserve"> - beruházási feladatokhoz kapcsolódó működési kiadások</t>
  </si>
  <si>
    <t xml:space="preserve"> - köztéri  padok és bútorok</t>
  </si>
  <si>
    <t xml:space="preserve"> - ünnepi díszkivilágítás szerelés </t>
  </si>
  <si>
    <t>Túrautvonalak fejlesztése Aqua jótékonysági nap bevételéből</t>
  </si>
  <si>
    <t>Közhatalmi bevételek</t>
  </si>
  <si>
    <t>Ellátottak pénzbeli juttatásai</t>
  </si>
  <si>
    <t>Egyéb felhalmo-zási célú kiadások</t>
  </si>
  <si>
    <t xml:space="preserve"> - belterületi fás szárú növények fenntartási munkái</t>
  </si>
  <si>
    <t>TOP 6.1.4-16-ZL1-2017-00001 Alsóerdő komplex turisztikai fejlesztése</t>
  </si>
  <si>
    <t xml:space="preserve"> -TOP-6.1.1-16 Zalaegerszegi Logisztikai Központ létrehozása</t>
  </si>
  <si>
    <t xml:space="preserve"> - TOP 6.5.1-15-ZL1-2016-0004 Landorhegyi Sportiskolai Általános Iskola energetikai korszerűsítése</t>
  </si>
  <si>
    <t>Uszoda tervezés és megvalósítás MVP támogatásból</t>
  </si>
  <si>
    <t xml:space="preserve"> - TOP 6.5.15-ZL1-2016-00003 Zalaegerszegi Ady Endre Általános Iskola, Gimnázium és Alapfokú Művészeti Iskola - többletenergiát az oktatásra</t>
  </si>
  <si>
    <t>6.) Államháztartáson belüli megelőlegezések</t>
  </si>
  <si>
    <t xml:space="preserve"> - játszóterek fenntartása, karbantartása</t>
  </si>
  <si>
    <t>Sorszám</t>
  </si>
  <si>
    <t>III. Települési önkormányzatok szociális és gyermekjóléti feladatainak támogatása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</si>
  <si>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</si>
  <si>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</si>
  <si>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</si>
  <si>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</si>
  <si>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</si>
  <si>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>1.c) megyei jogú városok közművelődési támogatása</t>
  </si>
  <si>
    <t xml:space="preserve"> - lakhatási krízis alap Lakásalapból</t>
  </si>
  <si>
    <t xml:space="preserve"> - sport- és humánigazgatási feladatok</t>
  </si>
  <si>
    <t xml:space="preserve"> - közterület reklám célú bérbeadásához kapcsolódó kiadás</t>
  </si>
  <si>
    <t>082061 Múzeumi gyűjteményi tevékenység</t>
  </si>
  <si>
    <t>Önkormányzat által nyújtott lakástámogatás első lakáshoz jutók részére  (Lakásalapból)</t>
  </si>
  <si>
    <t>5.a/4</t>
  </si>
  <si>
    <t>5.a/5</t>
  </si>
  <si>
    <t>Buslakpuszta hulladékdepó bővítéséhez területszerzés, kisajátítás</t>
  </si>
  <si>
    <t>Vagyonkezelési feladatok összesen: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</si>
  <si>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</si>
  <si>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</si>
  <si>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</si>
  <si>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</si>
  <si>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</si>
  <si>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</si>
  <si>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</si>
  <si>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</si>
  <si>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Fejlesztések a parkerdőben</t>
  </si>
  <si>
    <t>Szabadság emlékmű felújításának előkészítése</t>
  </si>
  <si>
    <t>Udvardy Ignác tér fejlesztés előkészítése</t>
  </si>
  <si>
    <t xml:space="preserve"> - ZALAVÍZ Zrt. nem viziközmű után fizetendő bérleti díj</t>
  </si>
  <si>
    <t xml:space="preserve"> - Tudományos és Technológiai Parkban ingatlanok értékesítése 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</si>
  <si>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</si>
  <si>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</si>
  <si>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</si>
  <si>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</si>
  <si>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</si>
  <si>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</si>
  <si>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</si>
  <si>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</si>
  <si>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</si>
  <si>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</si>
  <si>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</si>
  <si>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 xml:space="preserve"> - Kontakt Nonprofit Kft. működési támogatása</t>
  </si>
  <si>
    <t>Smart City tanulmány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</si>
  <si>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</si>
  <si>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</si>
  <si>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</si>
  <si>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</si>
  <si>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</si>
  <si>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</si>
  <si>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</si>
  <si>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</si>
  <si>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</si>
  <si>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</si>
  <si>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</si>
  <si>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</si>
  <si>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</si>
  <si>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</si>
  <si>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</si>
  <si>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</si>
  <si>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</si>
  <si>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</si>
  <si>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</si>
  <si>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</si>
  <si>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</si>
  <si>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 xml:space="preserve"> - Fejlesztési célú hitel felvétel  áthúzódó feladatokhoz kapcsolódó hitelkeretekből</t>
  </si>
  <si>
    <t>Oktatási feladatok</t>
  </si>
  <si>
    <t>Kulturális és ifjúsági feladatok</t>
  </si>
  <si>
    <t>Egyéb működési célú kiadások</t>
  </si>
  <si>
    <t>3.a/1</t>
  </si>
  <si>
    <t>Kamatmentes kölcsön az ideiglenesen nehéz helyzetbe került zeg-i polgárok számára (Lakásalapból)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</si>
  <si>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</si>
  <si>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</si>
  <si>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</si>
  <si>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</si>
  <si>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</si>
  <si>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</si>
  <si>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</si>
  <si>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</si>
  <si>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</si>
  <si>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</si>
  <si>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</si>
  <si>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</si>
  <si>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</si>
  <si>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</si>
  <si>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</si>
  <si>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</si>
  <si>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</si>
  <si>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</si>
  <si>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</si>
  <si>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</si>
  <si>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</si>
  <si>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</si>
  <si>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</si>
  <si>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</si>
  <si>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</si>
  <si>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</si>
  <si>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</si>
  <si>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Hitelező</t>
  </si>
  <si>
    <t>Lejárat éve</t>
  </si>
  <si>
    <t>Hitelkeret</t>
  </si>
  <si>
    <t>önkormányzat hitel állománya</t>
  </si>
  <si>
    <t>2019. évi adósságszolg.</t>
  </si>
  <si>
    <t>Vizslapark és környezete közműfejlesztés</t>
  </si>
  <si>
    <t>4.a/13</t>
  </si>
  <si>
    <t>4.a/14</t>
  </si>
  <si>
    <t>4.a/15</t>
  </si>
  <si>
    <t>4.a/16</t>
  </si>
  <si>
    <t>4.a/17</t>
  </si>
  <si>
    <t>4.a/18</t>
  </si>
  <si>
    <t>4.a/19</t>
  </si>
  <si>
    <t>4.a/20</t>
  </si>
  <si>
    <t>4.a/21</t>
  </si>
  <si>
    <t>4.a/22</t>
  </si>
  <si>
    <t xml:space="preserve">Göcseji u.53.sz.alatti ingatlan környezetében forgalomcsillapító intézkedések </t>
  </si>
  <si>
    <t>5./1</t>
  </si>
  <si>
    <t>9.a/2</t>
  </si>
  <si>
    <t>Gébárti tó fejlesztési feladatai VÜCS</t>
  </si>
  <si>
    <t>Arany J.u. csapadékcsatorna rekonstrukció</t>
  </si>
  <si>
    <t xml:space="preserve"> Zalaegerszeg keleti vízbázisról ellátott települések ívóvízminőségének javítása KEHOP projekt</t>
  </si>
  <si>
    <t>Zalaegerszeg nyugati vízbázisról ellátott települések ívóvízminőségének javítása KEHOP projekt</t>
  </si>
  <si>
    <t>2897/16 hrsz-ú területen parkoló építése</t>
  </si>
  <si>
    <t>Nyugdíjas otthonházi lakások felújítása</t>
  </si>
  <si>
    <t>TOP-6.1.4-16-ZL1-2017-00003 Helyi termelői és kézműves piac kialakítása Zalaegerszegen - Göcsej Tudásközpont (nettó fiansz.)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</si>
  <si>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</si>
  <si>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</si>
  <si>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</si>
  <si>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TOP-6.5.1. Egyéb, az MJV intézményfejlesztési stratégiája alapján kiválasztott intézmények energetikai fejlesztése</t>
  </si>
  <si>
    <t xml:space="preserve"> - önkormányzati bérlakásban élők lakásfenntartási segélye Lakásalapból</t>
  </si>
  <si>
    <t>Egyéb önkormányzati lakások felújítása lakásalap</t>
  </si>
  <si>
    <t>2020. évi adósságszolg.</t>
  </si>
  <si>
    <t>Későbbi évek tőketörlesztése</t>
  </si>
  <si>
    <t>Tőketörlesz- tés</t>
  </si>
  <si>
    <t>Kamat és egyéb ktg.</t>
  </si>
  <si>
    <t>Tőketörlesztés</t>
  </si>
  <si>
    <t>Zalaegerszeg  belváros közlekedési rendszerének  komplett átalakítása</t>
  </si>
  <si>
    <t>OTP</t>
  </si>
  <si>
    <t>2038.</t>
  </si>
  <si>
    <t>Közvilágítás energiatakarékos átalakítása</t>
  </si>
  <si>
    <t>2021.</t>
  </si>
  <si>
    <t>Zalaegerszegi Járműipari Tesztpályához szükséges területvásárláshoz</t>
  </si>
  <si>
    <t>2036.</t>
  </si>
  <si>
    <t>2029.</t>
  </si>
  <si>
    <t>Vizslaparki u. 48. szám alatti ingatlan pályázati forrásból történő felújítása</t>
  </si>
  <si>
    <t>2027.</t>
  </si>
  <si>
    <t>9./2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</si>
  <si>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</si>
  <si>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</si>
  <si>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</si>
  <si>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</si>
  <si>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</si>
  <si>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</si>
  <si>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</si>
  <si>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</si>
  <si>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</si>
  <si>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</si>
  <si>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</si>
  <si>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</si>
  <si>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</si>
  <si>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</si>
  <si>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</si>
  <si>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</si>
  <si>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</si>
  <si>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</si>
  <si>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</si>
  <si>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</si>
  <si>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</si>
  <si>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</si>
  <si>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</si>
  <si>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</si>
  <si>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</si>
  <si>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</si>
  <si>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</si>
  <si>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Ügyviteli dolgozó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</si>
  <si>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</si>
  <si>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</si>
  <si>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</si>
  <si>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</si>
  <si>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</si>
  <si>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</si>
  <si>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</si>
  <si>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</si>
  <si>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</si>
  <si>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</si>
  <si>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</si>
  <si>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</si>
  <si>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</si>
  <si>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</si>
  <si>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</si>
  <si>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</si>
  <si>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</si>
  <si>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</si>
  <si>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Hulladékgazdálkodás</t>
  </si>
  <si>
    <t>8.</t>
  </si>
  <si>
    <t>Köztemető</t>
  </si>
  <si>
    <t>9.</t>
  </si>
  <si>
    <t>Egyéb feladatok</t>
  </si>
  <si>
    <t xml:space="preserve"> - fa értékesítés bevétele</t>
  </si>
  <si>
    <t>107060 Egyéb szociális pénzbeli ellátások, támogatások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</si>
  <si>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</si>
  <si>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</si>
  <si>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</si>
  <si>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</si>
  <si>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</si>
  <si>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Jogi igazgatási feladatok</t>
  </si>
  <si>
    <t xml:space="preserve"> - Zalai Civil Életért Közhasznú Egy.támogatása (Civil ház működtetése)</t>
  </si>
  <si>
    <t xml:space="preserve"> - Pannon Tükör kulturális folyóirat támogatása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</si>
  <si>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</si>
  <si>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</si>
  <si>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</si>
  <si>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</si>
  <si>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</si>
  <si>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</si>
  <si>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</si>
  <si>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</si>
  <si>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</si>
  <si>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</si>
  <si>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 xml:space="preserve"> - országos DO. zalaegerszegi rendezvényei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</si>
  <si>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</si>
  <si>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</si>
  <si>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</si>
  <si>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</si>
  <si>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</si>
  <si>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</si>
  <si>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</si>
  <si>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</si>
  <si>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</si>
  <si>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</si>
  <si>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</si>
  <si>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</si>
  <si>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151 910</t>
  </si>
  <si>
    <t xml:space="preserve"> - Településrészi Önkormányzatok</t>
  </si>
  <si>
    <t>Csapadékvízelvezetéssel, vízrendezésekkel kapcsolatos tervezési díjak</t>
  </si>
  <si>
    <t>1./1</t>
  </si>
  <si>
    <t>1./1.</t>
  </si>
  <si>
    <t>1./2.</t>
  </si>
  <si>
    <t>Költségvetési szervek felújítási kerete (Vis maior)</t>
  </si>
  <si>
    <t>Falumúzeum szennyvízbekötése (telekhatáron belül 1 m-re)</t>
  </si>
  <si>
    <t>Kispálhegyi utca szennyvízelvezetés</t>
  </si>
  <si>
    <t xml:space="preserve"> - Zalaegerszegi Szociális Társulás működési hozzájárulás</t>
  </si>
  <si>
    <t xml:space="preserve"> - Fazekas-keramikus találkozó</t>
  </si>
  <si>
    <t xml:space="preserve"> - Zalaegerszegi Városi Diáknapok</t>
  </si>
  <si>
    <t xml:space="preserve"> - Csácsbozsok NSE sportlét.bérleti díj</t>
  </si>
  <si>
    <t>9.a/3</t>
  </si>
  <si>
    <t>TOP Projektek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</si>
  <si>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</si>
  <si>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</si>
  <si>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</si>
  <si>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</si>
  <si>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</si>
  <si>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1.a) önkormányzati hivatal működésének támogatása</t>
  </si>
  <si>
    <t xml:space="preserve">                                                  4 hóra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</si>
  <si>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</si>
  <si>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</si>
  <si>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</si>
  <si>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</si>
  <si>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 xml:space="preserve">Hegyi u.-Posta u. buszváró </t>
  </si>
  <si>
    <t xml:space="preserve">  (2) Pedagógus II. kategóriába sorolt óvodapedagógusok kiegészítő támogatása, akik a minősítés 2018. jan-1-jei átsorolással szerezték meg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</si>
  <si>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</si>
  <si>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</si>
  <si>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</si>
  <si>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</si>
  <si>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</si>
  <si>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</si>
  <si>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</si>
  <si>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</si>
  <si>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</si>
  <si>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</si>
  <si>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</si>
  <si>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</si>
  <si>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Városépítészeti feladatok összesen:</t>
  </si>
  <si>
    <t xml:space="preserve"> - Zalaegerszegi Szimfonikus Zenekar támogatása</t>
  </si>
  <si>
    <t>Hevesi Sándor Színház és Griff Bábszínház állami támogatása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</si>
  <si>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</si>
  <si>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</si>
  <si>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</si>
  <si>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</si>
  <si>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</si>
  <si>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</si>
  <si>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</si>
  <si>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</si>
  <si>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</si>
  <si>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</si>
  <si>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</si>
  <si>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</si>
  <si>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</si>
  <si>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</si>
  <si>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</si>
  <si>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</si>
  <si>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</si>
  <si>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</si>
  <si>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</si>
  <si>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</si>
  <si>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</si>
  <si>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103010 Elhunyt személyek hátramaradottainak pénzbeli ellátása</t>
  </si>
  <si>
    <t xml:space="preserve"> - Zalaegerszegi Atlétikai Club támogatása</t>
  </si>
  <si>
    <t xml:space="preserve"> - intézmények és civil szervezetek támogatása, rendezvényeik finanszírozása</t>
  </si>
  <si>
    <t xml:space="preserve"> TOP-6.1.1-16-ZL1-2017-00001 Üzemcsarnok építés a Zalaegerszeg 4815/6 hrsz-ú ingatlanon </t>
  </si>
  <si>
    <t xml:space="preserve"> TOP 6.9.2-16-ZL1-2017-00001 A helyi identitás és kohézió erősítésének megteremtése Zalaegerszegen</t>
  </si>
  <si>
    <t xml:space="preserve"> TOP-6.5.1-16-ZL1-2017-00004 ZMJV fenntartható energia és klíma akciótervének (SECAP) elkészítése</t>
  </si>
  <si>
    <t xml:space="preserve"> - TOP-6.1.1-16-ZL1-2017-00001 Üzemcsarnok építés a Zalaegerszeg 4815/6 hrsz-ú ingatlanon </t>
  </si>
  <si>
    <t xml:space="preserve"> - Uszoda tervezés és megvalósítás MVP támogatásból</t>
  </si>
  <si>
    <t xml:space="preserve"> - Alsóerdei Sport- és Rekreációs Központ fejlesztése MVP támogatással</t>
  </si>
  <si>
    <t>Volt nyomda épület hasznosítása - lízing kötelezettség</t>
  </si>
  <si>
    <t>2./1.</t>
  </si>
  <si>
    <t>7.) Lízing kötelezettség</t>
  </si>
  <si>
    <t>6.) Hitel- és kölcsön törlesztések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</si>
  <si>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</si>
  <si>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</si>
  <si>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</si>
  <si>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</si>
  <si>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</si>
  <si>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</si>
  <si>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</si>
  <si>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>2019. évi  eredeti előirányzat</t>
  </si>
  <si>
    <t>2019. évi eredeti előirányzat</t>
  </si>
  <si>
    <t>Egyéb közhatalmi bevételek (különféle bírságok, talajterhelési díj)</t>
  </si>
  <si>
    <t>Egyéb áruhasználati és szolgáltatási adók ( idegenforgalmi adó)</t>
  </si>
  <si>
    <t>Hitelek állománya  2018. XII. 31-én</t>
  </si>
  <si>
    <t>2018. évről áthuzódó  feladatokhoz hitel igénybe vétel</t>
  </si>
  <si>
    <t>2019. évi feladatokhoz hitel igénybevétel</t>
  </si>
  <si>
    <t>2021. évi adósságszolg.</t>
  </si>
  <si>
    <t>2018. évről áthúzódó feladat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</si>
  <si>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</si>
  <si>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</si>
  <si>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</si>
  <si>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</si>
  <si>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151506</t>
  </si>
  <si>
    <t>Városépítészeti feladatok</t>
  </si>
  <si>
    <t xml:space="preserve"> - alapfokú versenyek rendezése és  támogatása</t>
  </si>
  <si>
    <t xml:space="preserve"> - szabadidősport klubok támogatása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</si>
  <si>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</si>
  <si>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</si>
  <si>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</si>
  <si>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 xml:space="preserve"> - belterületbe vonással kapcsolatos műk.kiadások</t>
  </si>
  <si>
    <t>Városrehabilitáció II. ütem folytatása Lakásalapból</t>
  </si>
  <si>
    <t>Állami támogatások  évközi visszafizetésére</t>
  </si>
  <si>
    <t xml:space="preserve">Év közben jelentkező feladatokra </t>
  </si>
  <si>
    <t>Projektekhez, pályázatokhoz szükséges saját erő biztosításához</t>
  </si>
  <si>
    <t>Ola utca a járdafelújítás (Nefelejcs és a Szilágyi utca között + Kölcsey 1.előtt)</t>
  </si>
  <si>
    <t xml:space="preserve"> - dolgozói lakásépítés és -vásárlás támogatása</t>
  </si>
  <si>
    <t xml:space="preserve"> -Gébárti Kézművesek Háza regionális célú népi kézműves alkotóházzá fejlesztése EFOP-4.1.7-16-2017-00031</t>
  </si>
  <si>
    <t>Gébárti Kézművesek Háza regionális célú népi kézműves alkotóházzá fejlesztése EFOP-4.1.7-16-2017-00031</t>
  </si>
  <si>
    <t>9./6</t>
  </si>
  <si>
    <t xml:space="preserve"> - haszonbérleti szerződések, kishaszonbérlet</t>
  </si>
  <si>
    <t>Önkormányzat kiadásai összesen</t>
  </si>
  <si>
    <t xml:space="preserve"> - Építéshatósági feladatok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</si>
  <si>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</si>
  <si>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</si>
  <si>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</si>
  <si>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</si>
  <si>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</si>
  <si>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</si>
  <si>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</si>
  <si>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</si>
  <si>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</si>
  <si>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</si>
  <si>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4.a/6</t>
  </si>
  <si>
    <t>4.a/7</t>
  </si>
  <si>
    <t>105010 Munkanélküli aktív korúak ellátásai</t>
  </si>
  <si>
    <t>Petőfi u. részleges felújítása( Kossuth-Kosztolányi  között)</t>
  </si>
  <si>
    <t>Petőfi Iskola Hang- és vizuáltechnikai  eszközök beszerzése</t>
  </si>
  <si>
    <t>106020 Lakásfenntartással, lakhatással összefüggő ellátások</t>
  </si>
  <si>
    <t>061030 Lakáshoz jutást segítő támogatások</t>
  </si>
  <si>
    <t>011130 Önkorm. és önkorm. hivatal. jogalk. és ált.ig.tev.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</si>
  <si>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</si>
  <si>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</si>
  <si>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</si>
  <si>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</si>
  <si>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</si>
  <si>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</si>
  <si>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</si>
  <si>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</si>
  <si>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</si>
  <si>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</si>
  <si>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>3.Egyéb működési célú kiadások (költségvetési szervek és tartalék nélkül)</t>
  </si>
  <si>
    <t>6.) Hitel felvétel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</si>
  <si>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</si>
  <si>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</si>
  <si>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</si>
  <si>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</si>
  <si>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</si>
  <si>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</si>
  <si>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</si>
  <si>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</si>
  <si>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</si>
  <si>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Módosítás összege</t>
  </si>
  <si>
    <t>2019. évi  módosított előirányzat</t>
  </si>
  <si>
    <t>2019. évi módosított előirányzat</t>
  </si>
  <si>
    <t>B814</t>
  </si>
  <si>
    <t>Államháztartáson belüli megelőlegezések</t>
  </si>
  <si>
    <t>2019. évi  bevétel eredeti előirányzata</t>
  </si>
  <si>
    <t>2019. évi  bevétel módosított előirányzata</t>
  </si>
  <si>
    <t>I.5. A költségvetési szerveknél foglalkoztatottak 2018. évi áthúzódó és 2019. évi kompenzációja</t>
  </si>
  <si>
    <t>Szociális  ágazati összevont pétlék</t>
  </si>
  <si>
    <t xml:space="preserve">Szociális ágazatban egészségügyi végzettséghez kötött munkakörben foglalkoztatottak egészségügyi kiegészítő pótléka </t>
  </si>
  <si>
    <t>Kulturális illetménypótlék</t>
  </si>
  <si>
    <t xml:space="preserve">2019. évi módosított előirányzat </t>
  </si>
  <si>
    <t xml:space="preserve"> - ELENA programhoz önerő és bérfedezet megtérülése</t>
  </si>
  <si>
    <t xml:space="preserve"> - Hotelfejlesztés engedélyes és kiviteli terveinek elkészítéséhez támogatás</t>
  </si>
  <si>
    <t xml:space="preserve"> - Családok otthonteremtési kedvezménye (Lakásalap) kölcsön törlesztése</t>
  </si>
  <si>
    <t xml:space="preserve"> - államháztatáson belüli megelőlegezések</t>
  </si>
  <si>
    <t>109010 Szociális szolgáltatások  igazgatása</t>
  </si>
  <si>
    <t xml:space="preserve"> - D.F. Sport Kft. visszafizetési kötelezettség</t>
  </si>
  <si>
    <t>Családok otthonteremtési kedvezménye és utólagosan elszámolt Bébi kedvezmény (Lakásalap)</t>
  </si>
  <si>
    <t xml:space="preserve"> - fogászati alapellátás 2019. évi önkormányzati támogatása</t>
  </si>
  <si>
    <t xml:space="preserve"> - Sportcsarnok és környéke igénybevételének támogatása</t>
  </si>
  <si>
    <t xml:space="preserve"> - Sportcsarnok átalakítási munkái</t>
  </si>
  <si>
    <t>3./1./5</t>
  </si>
  <si>
    <t xml:space="preserve">Zalaegerszegi Gondozási Központ Idősek Gondozóháza betonaljzat javítási munkái </t>
  </si>
  <si>
    <t>Stadion 2. előtti járda aszfaltozás</t>
  </si>
  <si>
    <t>4./54</t>
  </si>
  <si>
    <t>Lokális felújítások a Zrínyi u. környezetében</t>
  </si>
  <si>
    <t>4.a/23</t>
  </si>
  <si>
    <t>Erkel Ferenc utca 20. A/B/C előtt a járdáról az úttestre lejáratok</t>
  </si>
  <si>
    <t>4.a/24.</t>
  </si>
  <si>
    <t>Telekalja u. járda építés</t>
  </si>
  <si>
    <t>9./10</t>
  </si>
  <si>
    <t>Összefogás Botfáért Egyesület eszközbeszerzés támogatása</t>
  </si>
  <si>
    <t xml:space="preserve"> - Városfejlesztési alap előkészítésével kapcsolatos kiadás</t>
  </si>
  <si>
    <t>Magánerős szennyvízbekötések támogatása</t>
  </si>
  <si>
    <t>10./5./1.</t>
  </si>
  <si>
    <t xml:space="preserve"> Hotelfejlesztés engedélyes és kiviteli terveinek elkészítéséhez támogatás</t>
  </si>
  <si>
    <t>10./5./2.</t>
  </si>
  <si>
    <t xml:space="preserve"> ELENA programhoz önerő és bérfedezet biztosítása</t>
  </si>
  <si>
    <t xml:space="preserve"> - államháztartáson belüli megelőlegezések visszafizetése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</si>
  <si>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</si>
  <si>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</si>
  <si>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</si>
  <si>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</si>
  <si>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</si>
  <si>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</si>
  <si>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</si>
  <si>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</si>
  <si>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</si>
  <si>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</si>
  <si>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</si>
  <si>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</si>
  <si>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</si>
  <si>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</si>
  <si>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Rendezési tervek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</si>
  <si>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</si>
  <si>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</si>
  <si>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</si>
  <si>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</si>
  <si>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</si>
  <si>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</si>
  <si>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</si>
  <si>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</si>
  <si>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Parkolóórák telepítése</t>
  </si>
  <si>
    <t>Mártírok útja-Arany J.u. átkötő út víziközmű fejlesztés</t>
  </si>
  <si>
    <t>045170 Parkoló, garázs üzemeltetése, fenntartása</t>
  </si>
  <si>
    <t>013350 Önk-i vagyonnal való gazdálkodáshoz kapcs.fa.</t>
  </si>
  <si>
    <t>Jánkahegyi kereszt felújítása</t>
  </si>
  <si>
    <t>Eötvös Iskola rekortán sportpálya építéséhez önrész</t>
  </si>
  <si>
    <t>2./1</t>
  </si>
  <si>
    <t>1./1./6</t>
  </si>
  <si>
    <t>1./1./7</t>
  </si>
  <si>
    <t>3./4</t>
  </si>
  <si>
    <t>Csácsi hegyi kápolnakert</t>
  </si>
  <si>
    <t>3./5</t>
  </si>
  <si>
    <t>031060 Bűnmegelőzés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</si>
  <si>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</si>
  <si>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</si>
  <si>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</si>
  <si>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</si>
  <si>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</si>
  <si>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</si>
  <si>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</si>
  <si>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</si>
  <si>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Zalaegerszegi Városi Diákönkormányzat 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</si>
  <si>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</si>
  <si>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</si>
  <si>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</si>
  <si>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</si>
  <si>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TOP 6.1.4-16-ZL1-2017-00001 Alsóerdő komplex turisztikai fejlesztése</t>
  </si>
  <si>
    <t xml:space="preserve"> - Zalaegerszegi Szakképzési Centrum részére támogatás szakképzési ösztöndíj céljára</t>
  </si>
  <si>
    <r>
      <t xml:space="preserve"> - csapadékvízelvezető és árvízvédelmi létesítmények,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diagnosztika</t>
    </r>
  </si>
  <si>
    <r>
      <t xml:space="preserve"> - vízbázis</t>
    </r>
    <r>
      <rPr>
        <strike/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védelemmel kapcsolatos feladatok</t>
    </r>
  </si>
  <si>
    <t>TOP-6.1.1-15-ZL1-2016-00001 Zalaegerszeg Északi Ipari Park feltárása és közművekkel való ellátása (részben nettó)</t>
  </si>
  <si>
    <t>TOP-6.1.3 -15-ZL1-2016-00001 Helyi termelői és kézműves piac kialakítása Zalaegerszegen ( nettó!)</t>
  </si>
  <si>
    <t>6.) Egyéb finanszírozási kiadás (államháztartáson belüli megelőlegezés visszafizetése)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</si>
  <si>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</si>
  <si>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</si>
  <si>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</si>
  <si>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</si>
  <si>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>7.a./1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</si>
  <si>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</si>
  <si>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</si>
  <si>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</si>
  <si>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</si>
  <si>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</si>
  <si>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Mindösszesen: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</si>
  <si>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</si>
  <si>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</si>
  <si>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</si>
  <si>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</si>
  <si>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</si>
  <si>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</si>
  <si>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közművesítési hozzájárulás</t>
  </si>
  <si>
    <t>151611</t>
  </si>
  <si>
    <t xml:space="preserve"> - Bursa Hungarica ösztöndíj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</si>
  <si>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</si>
  <si>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</si>
  <si>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</si>
  <si>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</si>
  <si>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</si>
  <si>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</si>
  <si>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</si>
  <si>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</si>
  <si>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 xml:space="preserve">  1.  Vizslaréti árok felbővítése a 0+737 – 0+872 szelvények között</t>
  </si>
  <si>
    <t>Lokális csapadékvízelvezető létesítmények felújítása</t>
  </si>
  <si>
    <t>Egyéb finanszírozási bevétel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</si>
  <si>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</si>
  <si>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</si>
  <si>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</si>
  <si>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</si>
  <si>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</si>
  <si>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</si>
  <si>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</si>
  <si>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</si>
  <si>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</si>
  <si>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</si>
  <si>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- egyszeri nevelési támogatás</t>
  </si>
  <si>
    <t xml:space="preserve"> - lakásfenntartási segély</t>
  </si>
  <si>
    <t xml:space="preserve"> - gyógyászati segédeszköz támogatás</t>
  </si>
  <si>
    <t>104042 Család- és gyermekjóléti szolgálat</t>
  </si>
  <si>
    <t xml:space="preserve"> - Toriki KHKE támogatása</t>
  </si>
  <si>
    <t xml:space="preserve"> - Egerszegi Kézilabda Klub támogatása</t>
  </si>
  <si>
    <t>- viziközművek területigénylésével kapcsolatos költségek</t>
  </si>
  <si>
    <t xml:space="preserve"> - lakossági, civil kezdeményezések támogatása </t>
  </si>
  <si>
    <t>- köztemetőben lévő hadisírok rendbetétele</t>
  </si>
  <si>
    <t xml:space="preserve"> - vagyonbiztosítás</t>
  </si>
  <si>
    <t xml:space="preserve"> - egyéb szervezetek támogatása </t>
  </si>
  <si>
    <t xml:space="preserve"> -  egészségügyi és szociális ágazat pályázati kerete</t>
  </si>
  <si>
    <t xml:space="preserve"> - rendezvények támogatása</t>
  </si>
  <si>
    <t xml:space="preserve">  - óvodapedagógusok átlagbérének és közterheinek elismert összege 4 hó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</si>
  <si>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</si>
  <si>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</si>
  <si>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</si>
  <si>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>Ft-ban</t>
  </si>
  <si>
    <t>Önkormányzat tulajdonában lévő mintegy 30 db bérlakás   teljes vagy részleges  felújítása, korszerűsítése  (Lakásalap)</t>
  </si>
  <si>
    <t>2. melléklet szerinti jogcímek</t>
  </si>
  <si>
    <t xml:space="preserve">                da) szociális segítés</t>
  </si>
  <si>
    <t xml:space="preserve">                db) személyi gondozás</t>
  </si>
  <si>
    <t>adag</t>
  </si>
  <si>
    <t xml:space="preserve"> - köztemetés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</si>
  <si>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</si>
  <si>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</si>
  <si>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</si>
  <si>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</si>
  <si>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</si>
  <si>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</si>
  <si>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</si>
  <si>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</si>
  <si>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</si>
  <si>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</si>
  <si>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</si>
  <si>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</si>
  <si>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</si>
  <si>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</si>
  <si>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</si>
  <si>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</si>
  <si>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5.a/1</t>
  </si>
  <si>
    <t>Helyi építészeti értékek védelme</t>
  </si>
  <si>
    <t>5.a/2</t>
  </si>
  <si>
    <t>5.a/3</t>
  </si>
  <si>
    <t xml:space="preserve"> a) a finanszírozás szempontjából elismert szakmai dolgozók bértámogatása</t>
  </si>
  <si>
    <t>b) Gyermekétkeztetés-üzemeltetési támogatás</t>
  </si>
  <si>
    <t xml:space="preserve">  - Andráshidai SC működési és sportlétesítmény üzemeltetés tám.</t>
  </si>
  <si>
    <t>MVP-s projektekhez kapcsolódó támogatási különbözet Mindszenty</t>
  </si>
  <si>
    <t>Egyéb projektek</t>
  </si>
  <si>
    <t>TOP projektekhez kapcsolódó többletfeladatok, nem támogatott munkarészek önk-i forrásból és a 100 millió Ft-os hitelkeretből</t>
  </si>
  <si>
    <t>Egyéb stratégiai feladat</t>
  </si>
  <si>
    <t>Beruházási és felújítási kiadások:</t>
  </si>
  <si>
    <t>Önkormányzati erdő ápolási és megújítási feladatok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</si>
  <si>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</si>
  <si>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</si>
  <si>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</si>
  <si>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</si>
  <si>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</si>
  <si>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</si>
  <si>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</si>
  <si>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</si>
  <si>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könyvvizsgálat díja</t>
  </si>
  <si>
    <t>2216**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</si>
  <si>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</si>
  <si>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</si>
  <si>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</si>
  <si>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</si>
  <si>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>Szennyvízfelújítások a Társulás által átadott használati díj terhére</t>
  </si>
  <si>
    <t>3.a/1.</t>
  </si>
  <si>
    <t xml:space="preserve">Munkaerő-piaci mobilitást elősegítő munkásszállás építése </t>
  </si>
  <si>
    <t>9.a/7</t>
  </si>
  <si>
    <t>9.a/8</t>
  </si>
  <si>
    <t>Modern Városok Program projektjei</t>
  </si>
  <si>
    <t>TOP-6.1.1-16 Zalaegerszegi Logisztikai Központ létrehozása</t>
  </si>
  <si>
    <t>SHAREPLACE Interreg Central Europe projekt pályázati támogatással</t>
  </si>
  <si>
    <t>2019. évi tervezett bevétel</t>
  </si>
  <si>
    <t>Forintban</t>
  </si>
  <si>
    <t>2018. évi eredeti mutatószámokkal</t>
  </si>
  <si>
    <t>2018. októberi mutatószámokkal</t>
  </si>
  <si>
    <t>81700-ról 97400-ra</t>
  </si>
  <si>
    <t>évközben</t>
  </si>
  <si>
    <t xml:space="preserve">   n) Óvodai és iskolai szociális segítő tevékenység támogatása</t>
  </si>
  <si>
    <t>Nem viziközmű vagyon fejlesztése</t>
  </si>
  <si>
    <t xml:space="preserve">   o) kiegészítő fajlagos összegek 2017. és 2018. éviminimálbér és garantált bérminimum összegét érintő intézkedésekhez</t>
  </si>
  <si>
    <t xml:space="preserve">  oa) Család- és gyermekjóléti szolgálat</t>
  </si>
  <si>
    <t xml:space="preserve">  oa) Család- és gyermekjóléti központ</t>
  </si>
  <si>
    <t xml:space="preserve">  ob) Házi segítségnyújtás-személyi gondozás</t>
  </si>
  <si>
    <t>c) kiegészítő fajlagos összeg (2017-2018. évi minimálbér és garantált bérminimum emeléshez)</t>
  </si>
  <si>
    <t>III.6.Bölcsődében a finanszírozás szempontból elismert szakmai dolgozók bértámogatása</t>
  </si>
  <si>
    <t xml:space="preserve">       - bölcsődei üzemeltetési támogatás</t>
  </si>
  <si>
    <t xml:space="preserve"> - 2018. évi maradvány igénybevétele áthúzódó feladatokhoz </t>
  </si>
  <si>
    <t xml:space="preserve"> - 2018. évi maradvány igénybevétele új feladatokhoz</t>
  </si>
  <si>
    <t xml:space="preserve"> - ZALA-Müllex Kft.által 2019. évre fizetett haszn. díj </t>
  </si>
  <si>
    <t xml:space="preserve"> - 2018. évi Vis maior pályázatból áthúzódó bevétel</t>
  </si>
  <si>
    <t xml:space="preserve"> Alsóerdei Sport- és Rekreációs Központ fejlesztése MVP támogatással</t>
  </si>
  <si>
    <t>TOP-6.1.2-16-ZL1-2017-00001 Inkubátorház bővítés Zalaegerszegen-III.ütem</t>
  </si>
  <si>
    <t>Lakóövezetbe sorolt ingatlanok vásárlása Lakásalapból</t>
  </si>
  <si>
    <t xml:space="preserve"> - ASP önkormányzati rendszer</t>
  </si>
  <si>
    <t>045110 Közúti közlekedés igazgatása és támogatása</t>
  </si>
  <si>
    <t xml:space="preserve"> - SHAREPLACE Interreg Central Europe projekt pályázati támogatás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</si>
  <si>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</si>
  <si>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</si>
  <si>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</si>
  <si>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</si>
  <si>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</si>
  <si>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</si>
  <si>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 xml:space="preserve">Pais Dezső u. 1-3. sz. lépcsőházak előtti járda térköves burkolása </t>
  </si>
  <si>
    <t xml:space="preserve">Landorhegyi u. 26. sz. társasház előtti beközlekedő út felújítása </t>
  </si>
  <si>
    <t xml:space="preserve">Landorhegyi u. 30. nyugati oldalán levezető lépcső felújítása </t>
  </si>
  <si>
    <t xml:space="preserve">Landorhegyi óvoda OVI-FOCI pályázathoz kapcsolódó járulékos munkák </t>
  </si>
  <si>
    <t xml:space="preserve"> - Őshonos halfauna fejlesztése Gébárton (pénzeszköz átadás a Horgászegyesületek Zala megyei Szövetsége részére) </t>
  </si>
  <si>
    <t>Szent László utcai óvoda konyha felújítása</t>
  </si>
  <si>
    <t>Kertvárosi 10-es körzetben járda és útfelújítások</t>
  </si>
  <si>
    <t>Mókus u. felújítása</t>
  </si>
  <si>
    <t>7./1.</t>
  </si>
  <si>
    <t>Cinke utcai lépcső felújítása (lakossági hozzájárulással)</t>
  </si>
  <si>
    <t>Csácsi-hegy útépítés</t>
  </si>
  <si>
    <t>Berzsenyi  u.17. mozgáskorlátozott feljáró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</si>
  <si>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</si>
  <si>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</si>
  <si>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</si>
  <si>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</si>
  <si>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</si>
  <si>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</si>
  <si>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 xml:space="preserve"> - Városi Strandfürdő és Fedett uszoda műk.  támogatása</t>
  </si>
  <si>
    <t>Pénzügyi lebonyolítás és kp-i  összesen:</t>
  </si>
  <si>
    <t>22.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</si>
  <si>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</si>
  <si>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</si>
  <si>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</si>
  <si>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</si>
  <si>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</si>
  <si>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</si>
  <si>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</si>
  <si>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 xml:space="preserve">Vagyonkezelési feladatok </t>
  </si>
  <si>
    <t xml:space="preserve"> - helyiséggazdálkodás kiadásai</t>
  </si>
  <si>
    <t xml:space="preserve">Út-járda parkoló </t>
  </si>
  <si>
    <t>2.a/1</t>
  </si>
  <si>
    <t>2.a/2</t>
  </si>
  <si>
    <t xml:space="preserve"> - közterület reklám célú bérbeadása</t>
  </si>
  <si>
    <t xml:space="preserve"> - '47-es Honvéd Zászlóalj Hagyományőrző Egyesület támogatása</t>
  </si>
  <si>
    <t>4.a/11</t>
  </si>
  <si>
    <t>Közvilágítás fejlesztés</t>
  </si>
  <si>
    <t>TOP-os felújítandó orvosi rendelők saját erős kiegészítése</t>
  </si>
  <si>
    <t>Színész lakások balesetveszélyes erkélyek felújítása Lakásalapból</t>
  </si>
  <si>
    <t>Kézművesház gázcsatlakozás kiépítése</t>
  </si>
  <si>
    <t>Sportpark pályázattal megvalósuló pályák előkészítő  és járulékos munkái</t>
  </si>
  <si>
    <t xml:space="preserve"> - szociális krízis alap</t>
  </si>
  <si>
    <t>Polgármesteri Kabinet kiadásai összesen:</t>
  </si>
  <si>
    <t xml:space="preserve"> - Építéshatósági feladatok összesen:</t>
  </si>
  <si>
    <t>Lakásalappal kapcsolatos kiadások</t>
  </si>
  <si>
    <t xml:space="preserve"> - lakásalap kiadásai</t>
  </si>
  <si>
    <t xml:space="preserve"> -   egyéb szociális szolgáltatás</t>
  </si>
  <si>
    <t xml:space="preserve"> -  címpótlék a szociális intézményekben</t>
  </si>
  <si>
    <t>TOP-6.1.4 -15-ZL1-2016-00003 Zöld Zala-part Turisztikai célú kerékpárút fejlesztés a Zala Mentén és Gébárton</t>
  </si>
  <si>
    <t>TOP-6.2.1-15- ZL1-2016-00001 Andráshidai Óvoda éptése</t>
  </si>
  <si>
    <t>TOP-6.1.4-15-ZL1-2016-00001 "Zalaegerszeg turisztikai vonzerejének növelése a " SMART City" eszközrendszerével"</t>
  </si>
  <si>
    <t>TOP 6.5.1-15-ZL1-2016-00002 Zalaegerszegi Gondozási Központ Idősek Gondozóháza energetikai korszerűsítése</t>
  </si>
  <si>
    <t xml:space="preserve"> - helyi közösségi közlekedés veszteségének finanszírozása</t>
  </si>
  <si>
    <t xml:space="preserve"> - Zalaegerszegi SHOTOKAN Karate Egyesület támogatás</t>
  </si>
  <si>
    <t>URBAN Innovation Action pályázat előkészítése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</si>
  <si>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</si>
  <si>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</si>
  <si>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</si>
  <si>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</si>
  <si>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</si>
  <si>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</si>
  <si>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TOP-6.3.2-15-ZL1-2016-00001 Zöld Zala Part - Zala holtág revitalizációja és rekreációs célú vízparti sétány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</si>
  <si>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</si>
  <si>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</si>
  <si>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TOP-6.2.1-15-ZL1-2016-000004 Zalaegerszegi Egyesített Bölcsődék Napsugár utcai Bölcsőde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</si>
  <si>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</si>
  <si>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tesztpálya területének bérleti díja</t>
  </si>
  <si>
    <t xml:space="preserve"> - területrendezési és egyéb eljárások költségei főépítészi feladatokhoz</t>
  </si>
  <si>
    <t xml:space="preserve">  (2) Mesterpedagógus kategóriába sorolt óvodapedagógusok kiegészítő támogatása</t>
  </si>
  <si>
    <t xml:space="preserve"> - TOP-6.1.4--16-ZL1-2017-00002 Göcseji Múzeum épületének felújítása és kiállító tereinek fejlesztése</t>
  </si>
  <si>
    <t>TOP-6.1.4-16-ZL1-2017-00002 Göcseji Múzeum épületének felújítása és kiállító tereinek fejlesztése</t>
  </si>
  <si>
    <t xml:space="preserve"> - Zalaegerszegi Egyetemisták Egyesülete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</si>
  <si>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</si>
  <si>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</si>
  <si>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 xml:space="preserve"> - volt Nyomda épület hasznosítása</t>
  </si>
  <si>
    <t xml:space="preserve"> - utak, járdák,lépcsők, támfalak hibaelhárítás, sürgősségi feladatok</t>
  </si>
  <si>
    <t>Városépítészeti kiadások összesen:</t>
  </si>
  <si>
    <t xml:space="preserve"> - Zalaegerszegi Honvéd Klub támogatása</t>
  </si>
  <si>
    <t xml:space="preserve"> -  táncház mozgalom</t>
  </si>
  <si>
    <t xml:space="preserve">  - komolyzenei hétvége</t>
  </si>
  <si>
    <t xml:space="preserve"> - Idősek otthona működési támogatás ( Kolping) </t>
  </si>
  <si>
    <t xml:space="preserve"> - Zalaegerszegi Judo SE támogatása</t>
  </si>
  <si>
    <t xml:space="preserve"> - ZTC (Tájfutó Club) támogatása</t>
  </si>
  <si>
    <t xml:space="preserve"> - ZKSE verseny rendezése</t>
  </si>
  <si>
    <t>Mindszenty Múzeum és Zarándokközpont fejlesztése, zalaegerszegi "Mindszenty Út" megvalósítása MVP</t>
  </si>
  <si>
    <t>5./1.</t>
  </si>
  <si>
    <t xml:space="preserve">Szenterzsébethegyi közösségi tér </t>
  </si>
  <si>
    <t>3./1</t>
  </si>
  <si>
    <t>3./2</t>
  </si>
  <si>
    <t>4./2</t>
  </si>
  <si>
    <t>5./2</t>
  </si>
  <si>
    <t>9./1</t>
  </si>
  <si>
    <t>4./3</t>
  </si>
  <si>
    <t>4./4</t>
  </si>
  <si>
    <t>5./3</t>
  </si>
  <si>
    <t xml:space="preserve">Szennyvíz felújítások használati díj terhére </t>
  </si>
  <si>
    <t xml:space="preserve">Ivóvíz felújítások használati díj terhére </t>
  </si>
  <si>
    <t xml:space="preserve"> -  szennyvíz vagyon használati díja</t>
  </si>
  <si>
    <t xml:space="preserve"> - ivóvíz  vagyon használati díja</t>
  </si>
  <si>
    <t xml:space="preserve"> - Munkaerő-piaci mobilitást elősegítő munkásszállás építése </t>
  </si>
  <si>
    <t xml:space="preserve"> - TOP-6.1.2-16-ZL1-2017-00001 Inkubátorház bővítés Zalaegerszegen-III.ütem</t>
  </si>
  <si>
    <t xml:space="preserve"> - értékpapír beváltás</t>
  </si>
  <si>
    <t xml:space="preserve"> - Mindszenty Múzeum és Zarándokközpont fejlesztése, zalaegerszegi "Mindszenty Út" megvalósítása MVP</t>
  </si>
  <si>
    <t>Befektetés támogatás a BGS Safety Product Kft. részére</t>
  </si>
  <si>
    <t xml:space="preserve"> - Népművészeti Országos konferencia</t>
  </si>
  <si>
    <t xml:space="preserve"> - minősített pedagógusok bértámogatása (2019. jan-1-től)</t>
  </si>
  <si>
    <t xml:space="preserve"> - Hevesi Sándor Színház felújítás és korszerűsítés előkészítése MVP</t>
  </si>
  <si>
    <t>Hevesi Sándor Színház felújítás és korszerűsítés előkészítése MVP</t>
  </si>
  <si>
    <t>1./1./1</t>
  </si>
  <si>
    <t>1./1./2</t>
  </si>
  <si>
    <t xml:space="preserve">             Általános iskolák</t>
  </si>
  <si>
    <t>1./2/1</t>
  </si>
  <si>
    <t>1./2/2</t>
  </si>
  <si>
    <t>1./2/3</t>
  </si>
  <si>
    <t xml:space="preserve">                 Egészségügyi és humánigazgatási feladatok</t>
  </si>
  <si>
    <t>3./1./1</t>
  </si>
  <si>
    <t>3./1./2</t>
  </si>
  <si>
    <t>Petőfi utcai bölcsőde felújítás, támogatás</t>
  </si>
  <si>
    <t>4./5</t>
  </si>
  <si>
    <t>1./1./3</t>
  </si>
  <si>
    <t>4./6</t>
  </si>
  <si>
    <t>4./7</t>
  </si>
  <si>
    <t>4./8</t>
  </si>
  <si>
    <t>5./4</t>
  </si>
  <si>
    <t>5./5</t>
  </si>
  <si>
    <t>3./3</t>
  </si>
  <si>
    <t>4./9</t>
  </si>
  <si>
    <t>4./10</t>
  </si>
  <si>
    <t>4./11</t>
  </si>
  <si>
    <t>4./12</t>
  </si>
  <si>
    <t>4./13</t>
  </si>
  <si>
    <t>1./1./5</t>
  </si>
  <si>
    <t>4./14</t>
  </si>
  <si>
    <t>4./15</t>
  </si>
  <si>
    <t>4./16</t>
  </si>
  <si>
    <t>4./17</t>
  </si>
  <si>
    <t>4./18</t>
  </si>
  <si>
    <t>Gógánhegy veszélyes útszakasz helyreállítása</t>
  </si>
  <si>
    <t xml:space="preserve"> - Andráshida közösségi programok</t>
  </si>
  <si>
    <t>9./3</t>
  </si>
  <si>
    <t>9./4</t>
  </si>
  <si>
    <t>9./5</t>
  </si>
  <si>
    <t>Diófa utca felújítása</t>
  </si>
  <si>
    <t xml:space="preserve"> - Csónakázó tó rendbetétele</t>
  </si>
  <si>
    <t>Pályázatokhoz kapcsolódó nem támogatott munkarészek</t>
  </si>
  <si>
    <t>Termálmedence felújítása</t>
  </si>
  <si>
    <t>Ingatlan bontások</t>
  </si>
  <si>
    <t>Bazitai park</t>
  </si>
  <si>
    <t>5./6</t>
  </si>
  <si>
    <t>5./7</t>
  </si>
  <si>
    <t>5./8</t>
  </si>
  <si>
    <t>5./9</t>
  </si>
  <si>
    <t>Becsali járda</t>
  </si>
  <si>
    <t>1./3.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</si>
  <si>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</si>
  <si>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1./3./1</t>
  </si>
  <si>
    <t xml:space="preserve"> - Göcsej Kupa</t>
  </si>
  <si>
    <t xml:space="preserve"> - Horgászegyesületek Z.M. Szövetsége támogatása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</si>
  <si>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</si>
  <si>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</si>
  <si>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</si>
  <si>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</si>
  <si>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</si>
  <si>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</si>
  <si>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tagsági díjak ( MJVSZ stb.)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</si>
  <si>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</si>
  <si>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</si>
  <si>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</si>
  <si>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</si>
  <si>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 xml:space="preserve"> - Buslakpusztai bezárt hulladéklerakó szennyezés lokalizációja létesítmény üzemeltetés</t>
  </si>
  <si>
    <t xml:space="preserve"> - közterületen hagyott gépjárművek értékesítése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</si>
  <si>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</si>
  <si>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</si>
  <si>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</si>
  <si>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</si>
  <si>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</si>
  <si>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</si>
  <si>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</si>
  <si>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</si>
  <si>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</si>
  <si>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</si>
  <si>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Önkormányzat összesen:</t>
  </si>
  <si>
    <t>I. Működési célú bevételek</t>
  </si>
  <si>
    <t>I. Működési célú kiadások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</si>
  <si>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</si>
  <si>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</si>
  <si>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</si>
  <si>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</si>
  <si>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</si>
  <si>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</si>
  <si>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</si>
  <si>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</si>
  <si>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 xml:space="preserve">Önkormányzat </t>
  </si>
  <si>
    <t>Költségvetési szervek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</si>
  <si>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</si>
  <si>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</si>
  <si>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</si>
  <si>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</si>
  <si>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</si>
  <si>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</si>
  <si>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</si>
  <si>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</si>
  <si>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</si>
  <si>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</si>
  <si>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Városi Idősügyi Tanács feladatai</t>
  </si>
  <si>
    <t xml:space="preserve"> - Páterdomb LSC sportlétesítmény üzemeltetési tám.</t>
  </si>
  <si>
    <t xml:space="preserve"> - ZTE ZÁÉV Teke Klub támogatása</t>
  </si>
  <si>
    <t>TOP és egyéb pályázatok előkészítése és önerő biztosítása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</si>
  <si>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</si>
  <si>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</si>
  <si>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</si>
  <si>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</si>
  <si>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</si>
  <si>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</si>
  <si>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</si>
  <si>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 xml:space="preserve">     bc) köztemető fenntartással kapcsolatos feladatok támogatása  (m²)</t>
  </si>
  <si>
    <t>1.d) Lakott külterülettel kapcsolatos feladatok támogatása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</si>
  <si>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</si>
  <si>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</si>
  <si>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</si>
  <si>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</si>
  <si>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</si>
  <si>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</si>
  <si>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</si>
  <si>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>Munkaadókat terhelő járulékok és szociális hj. adó</t>
  </si>
  <si>
    <t xml:space="preserve">Dologi kiadások </t>
  </si>
  <si>
    <t xml:space="preserve"> - ZTE KK. Kft. támogatás </t>
  </si>
  <si>
    <t>Kiemelt projektek</t>
  </si>
  <si>
    <t>Beruházási és felújítási kiadások</t>
  </si>
  <si>
    <t>Stratégiai feladatok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</si>
  <si>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</si>
  <si>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</si>
  <si>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</si>
  <si>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 xml:space="preserve">  - Stadion bérleti díj</t>
  </si>
  <si>
    <t xml:space="preserve"> - "Street Food" hétvége</t>
  </si>
  <si>
    <t xml:space="preserve"> - városi farsang megrendezése</t>
  </si>
  <si>
    <t>6.a/4</t>
  </si>
  <si>
    <t>8./1.</t>
  </si>
  <si>
    <t xml:space="preserve"> - Járműipari és logisztikai orsszágos konferencia megrendezése</t>
  </si>
  <si>
    <t xml:space="preserve"> - Zalaegerszegi TV  és Rádió működési támogatása</t>
  </si>
  <si>
    <t xml:space="preserve">              Óvodák </t>
  </si>
  <si>
    <t xml:space="preserve">Ivóvíz </t>
  </si>
  <si>
    <t xml:space="preserve">Közvilágítás és egyéb közmű </t>
  </si>
  <si>
    <t>feladat jellege</t>
  </si>
  <si>
    <t>Cím    szám</t>
  </si>
  <si>
    <t>Orvos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</si>
  <si>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</si>
  <si>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</si>
  <si>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</si>
  <si>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</si>
  <si>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</si>
  <si>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</si>
  <si>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</si>
  <si>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</si>
  <si>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</si>
  <si>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</si>
  <si>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</si>
  <si>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</si>
  <si>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</si>
  <si>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</si>
  <si>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</si>
  <si>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</si>
  <si>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</si>
  <si>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>Bevételek összesen</t>
  </si>
  <si>
    <t xml:space="preserve"> - rendezvényhez kapcsolódó forgalomkorlátozások</t>
  </si>
  <si>
    <t xml:space="preserve"> - utastájékoztatási rendszer üzemeltetése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</si>
  <si>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</si>
  <si>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</si>
  <si>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</si>
  <si>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</si>
  <si>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Keresztury Emlékbizottság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</si>
  <si>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</si>
  <si>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</si>
  <si>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</si>
  <si>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</si>
  <si>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</si>
  <si>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</si>
  <si>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</si>
  <si>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</si>
  <si>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</si>
  <si>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EcoSmartCities Interreg HU-HR projekt</t>
  </si>
  <si>
    <t xml:space="preserve"> Forgatási célú belföldi értékpapírok beváltása, értékesítése</t>
  </si>
  <si>
    <t>B8121</t>
  </si>
  <si>
    <t>8.) Forgatási célú értékpapír beváltás</t>
  </si>
  <si>
    <t>Vorhota, közösségi tér, és ház fejlesztés</t>
  </si>
  <si>
    <t>Öveges u. járda felújítás</t>
  </si>
  <si>
    <t>Iskola u. útfelújítás</t>
  </si>
  <si>
    <t>Cserfa utca burkolat felújítás</t>
  </si>
  <si>
    <t>Andráshidai orvosi rendelő festése</t>
  </si>
  <si>
    <t xml:space="preserve">Andráshidai (Iskola utcai) játszótér fejlesztés </t>
  </si>
  <si>
    <t>Gazdaság u.-Andráshida u. között közvilágítás</t>
  </si>
  <si>
    <t>I-II. világháborús emlékmű áthelyezése és parkrendezés</t>
  </si>
  <si>
    <t xml:space="preserve"> - Andráshidai közösségi ház működtetés</t>
  </si>
  <si>
    <t>Andráshidai közösségi ház felújítása</t>
  </si>
  <si>
    <t xml:space="preserve"> - Gébárti tó környezetének rendbetétele pe.átadás a Z.M. Horgászszövetségnek</t>
  </si>
  <si>
    <t>Ságod, közösségi ház padlástér hőszigetelés</t>
  </si>
  <si>
    <t xml:space="preserve">Ságod, közösségi Ház (óvoda melletti) terem ablakcsere </t>
  </si>
  <si>
    <t>Ságod, közösségi Ház melletti nyílt árok zárttá tétele és felette parkoló létesítés</t>
  </si>
  <si>
    <t>Ságodi  harangláb felújítás</t>
  </si>
  <si>
    <t>Pózva, Kaszaháza, Neszele és Hatház infrastruktúrájának  fejlesztése</t>
  </si>
  <si>
    <t>Petőfi utca (Bíró M.- Kosztolányi u. közötti) D-i járda felújítás</t>
  </si>
  <si>
    <t>Belváros járda-parkoló felújítás</t>
  </si>
  <si>
    <t>Belváros zöldfelület felújítás</t>
  </si>
  <si>
    <t xml:space="preserve"> - Kossuth L. u. virágosládák kihelyezése</t>
  </si>
  <si>
    <t>Új játékok beszerzése belvárosi játszóterekre</t>
  </si>
  <si>
    <t>Berzsenyi járda aszfaltozás/javítás a körforgalomig</t>
  </si>
  <si>
    <t xml:space="preserve"> - Rákóczi F. út parkosítás folytatás</t>
  </si>
  <si>
    <t xml:space="preserve">Ola járdajavítások, játszótér gondozás </t>
  </si>
  <si>
    <t>Olai templom előtti rész térkövezés</t>
  </si>
  <si>
    <t>Tipegő bölcsöde fejlesztés</t>
  </si>
  <si>
    <t>Piac parkoló aszfaltozása és csarnok javítás</t>
  </si>
  <si>
    <t>Ola-Rákóczi utca egyéb felújítások</t>
  </si>
  <si>
    <t>Járdafelújítások Botfán</t>
  </si>
  <si>
    <t xml:space="preserve">Botfai LSC fejlesztéseinek támogatása </t>
  </si>
  <si>
    <t xml:space="preserve">Zalabesenyői templom belső felújítási munkái </t>
  </si>
  <si>
    <t xml:space="preserve">Zalabesenyői temető parkosítás, kerítés építés </t>
  </si>
  <si>
    <t>Járdafelújítások Zalabesenyőben</t>
  </si>
  <si>
    <t>Járdafelújítások Páterdombon</t>
  </si>
  <si>
    <t>Kinizsi-Baross játszótér fejlesztés</t>
  </si>
  <si>
    <t>Páterdombi sportpálya környezetének fejlesztése</t>
  </si>
  <si>
    <t xml:space="preserve">Turisztikai táblák kihelyezése Páterdombon, Botfán, Zalabesenyőben </t>
  </si>
  <si>
    <t>4./19</t>
  </si>
  <si>
    <t>4./20</t>
  </si>
  <si>
    <t>4./21</t>
  </si>
  <si>
    <t>Platán sor 12. parkoló bővítés</t>
  </si>
  <si>
    <t>Gasparich út 9. parkoló és járda fejlesztés</t>
  </si>
  <si>
    <t>Batsányi utca lokális járdafelújítások</t>
  </si>
  <si>
    <t>Püspöki Grácián utca lokális járdafeújítások</t>
  </si>
  <si>
    <t>Csány László KSZK eszközfejlesztés</t>
  </si>
  <si>
    <t xml:space="preserve">Landorhegyi út eszközfejlesztés (játszóeszközök, utcabútorok) </t>
  </si>
  <si>
    <t xml:space="preserve">Hársas út aszfaltozás </t>
  </si>
  <si>
    <t xml:space="preserve">Cimpóhegy út aszfaltozás </t>
  </si>
  <si>
    <t>Futrinka utca aszfaltozás</t>
  </si>
  <si>
    <t xml:space="preserve">Vadrózsa utca közvilágítás </t>
  </si>
  <si>
    <t>Gálafej közvilágítás fejlesztés (Százszorszép utca, Széna tér)</t>
  </si>
  <si>
    <t xml:space="preserve">Kodály ovi közvilágítás </t>
  </si>
  <si>
    <t>Ebergény Sportpálya fejlesztése</t>
  </si>
  <si>
    <t xml:space="preserve">Landorhegyi u. 14. sz. társasház melletti járda és lépcsőfelújítás II. ütem </t>
  </si>
  <si>
    <t xml:space="preserve">Landorhegyi u. 52. nyugati oldalán lévő kereszteződés aszfaltozása </t>
  </si>
  <si>
    <t>Ősz utca aszfaltozása</t>
  </si>
  <si>
    <t>Landorhegyi u. 26 - Csertán Sándor utca közötti járdaszakasz felújítása</t>
  </si>
  <si>
    <t xml:space="preserve">Madách u. 20. déli oldalán 8 db parkolóhely kiépítése </t>
  </si>
  <si>
    <t xml:space="preserve">Pais – Madách u. parkolóhelyek létesítése I. ütem </t>
  </si>
  <si>
    <t>Landorhegyi óvoda eszközfejlesztés</t>
  </si>
  <si>
    <t>Hock J. 3. előtt parkoló és járda javítás</t>
  </si>
  <si>
    <t xml:space="preserve"> - Falumúzeum u. egyirányusítása </t>
  </si>
  <si>
    <t>Városi Középiskolai Kollégium parkoló építés, eszközbeszerzés</t>
  </si>
  <si>
    <t>Liszt Ferenc Ált. Isk. műfüves focipálya önrész</t>
  </si>
  <si>
    <t>Babits-Hegyalja sarok parkoló kialakítás</t>
  </si>
  <si>
    <t>Járda és útfelújítások (Babits, Olajmunkás)</t>
  </si>
  <si>
    <t>Tóth Árpád utca aszfaltozás</t>
  </si>
  <si>
    <t>Kikelet utca gépkocsi kitérő kialakítás</t>
  </si>
  <si>
    <t>Bartók Béla u. felújításának tervezése az Alsójánkahegyi u - Zrínyi u. között</t>
  </si>
  <si>
    <t>Bartók - Volán u. útfelújítás és csapadékvíz rendezés</t>
  </si>
  <si>
    <t xml:space="preserve">Olajmunkás u. 8. gyűjtősziget kiépítése </t>
  </si>
  <si>
    <t xml:space="preserve">Erkel Ferenc utcai játszótér felújítása </t>
  </si>
  <si>
    <t xml:space="preserve"> - Zalaegerszegi Polgárőr Egyesület és a Jánkahegyi Polgárőr Egyesület támogatása, rendezvények szervezése, biztosítása</t>
  </si>
  <si>
    <t>Közvetett támogatás jogcíme</t>
  </si>
  <si>
    <t>1. Ellátottak térítési díjának illetve kártérítésének méltányossági alapon történő elengedése</t>
  </si>
  <si>
    <t>----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</si>
  <si>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</si>
  <si>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</si>
  <si>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</si>
  <si>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</si>
  <si>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 xml:space="preserve">A lakásépítéshez, lakásfelújításhoz nyújtott kölcsön elengedése és a  helyiségek, eszközök  </t>
  </si>
  <si>
    <t>adatok álltak rendelkezésre.</t>
  </si>
  <si>
    <t>2020. évi kötelezettség</t>
  </si>
  <si>
    <t>2021. évi kötelezettség</t>
  </si>
  <si>
    <t>Megjegyzés</t>
  </si>
  <si>
    <t>I. Hitelek törlesztése és kamatai</t>
  </si>
  <si>
    <t>részletesen a 9. mellékletben</t>
  </si>
  <si>
    <t>II. Támogatási és egyéb megállapodások</t>
  </si>
  <si>
    <t>ZTE Football Club Zrt.és ZTE-SPORTSZOLG Kft.támogatása</t>
  </si>
  <si>
    <t xml:space="preserve">megállapodás szerint 2024-ig infláció követéssel </t>
  </si>
  <si>
    <t>Helyi buszközlekedés veszteségének finanszírozása</t>
  </si>
  <si>
    <t>tíz éves időtartam 2022-ig</t>
  </si>
  <si>
    <t>ZMJVK 256/2016.(XII.15.) kgy. határozat 5 éves</t>
  </si>
  <si>
    <t>Edelmann Hungary Packaging Zrt. lízingszerződés</t>
  </si>
  <si>
    <t>ZMJVK 254/2013.(XII.19.) kgy.határozat 2023-ig 8 éves időtartamban</t>
  </si>
  <si>
    <t xml:space="preserve">               Támogatási és egyéb megállapodások összesen:</t>
  </si>
  <si>
    <t>III. Készfizető kezességvállalások</t>
  </si>
  <si>
    <t>Városgazdálkodási Kft.( Csipke parkolóház tulajdonjogának megszerzése)</t>
  </si>
  <si>
    <t>ZMJVK 133/2012.(VI.21.) kgy.határozat 10 éves futamidő</t>
  </si>
  <si>
    <t>Zalaegerszegi Városfejlesztő Zrt.(Inkubátorház bővítése céljára felvett hitelhez)</t>
  </si>
  <si>
    <t>ZMJVK 104/2012.(VI.21.) kgy.határozat 12 éves futamidő</t>
  </si>
  <si>
    <t>Zala-Müllex Kft. (Müllex-Körmend Kft. üzletrészeinek megvásárlása)</t>
  </si>
  <si>
    <t>ZMJVK 36/2014.(III.05.) kgy.határozat 10 éves futamidő</t>
  </si>
  <si>
    <t>ZTE-SPORTSZOLG Kft. (működési célú hitelfelvétel)</t>
  </si>
  <si>
    <t>ZMJVK 27/2014.(III.05.) kgy.határozat  10 éves futamidő</t>
  </si>
  <si>
    <t xml:space="preserve">                                 Készfizető kezességek összesen:</t>
  </si>
  <si>
    <t>Összes kötelezettség: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</si>
  <si>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</si>
  <si>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</si>
  <si>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</si>
  <si>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</si>
  <si>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</si>
  <si>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</si>
  <si>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</si>
  <si>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</si>
  <si>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</si>
  <si>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</si>
  <si>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</si>
  <si>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</si>
  <si>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</si>
  <si>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</si>
  <si>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Bevételek összesen:</t>
  </si>
  <si>
    <t xml:space="preserve">  </t>
  </si>
  <si>
    <t>Önkormányzat  működési kiadásai</t>
  </si>
  <si>
    <t>Önkormányzat felhalmozási kiadási</t>
  </si>
  <si>
    <t>Önkormányzat költségvetési szervek nélkül</t>
  </si>
  <si>
    <t>Kiadások összesen:</t>
  </si>
  <si>
    <t xml:space="preserve">2019. évben várható támogatás, kedvezmény összege             </t>
  </si>
  <si>
    <t>Az adókedvezmények és mentességek esetében a 2017. évi adat állt rendelkezésre.</t>
  </si>
  <si>
    <t xml:space="preserve">hasznosításából származó bevételből nyújtottkedvezményeknél a 2018. évi tény </t>
  </si>
  <si>
    <t>Egyéb nyújtott kedvezmény esetében a 2019. évben tervezett összeget szerepeltetjük.</t>
  </si>
  <si>
    <t>2022. évi kötelezettség</t>
  </si>
  <si>
    <t xml:space="preserve"> - Adomány központ működtetési támogatása</t>
  </si>
  <si>
    <t>Projekt  megnevezése</t>
  </si>
  <si>
    <t>Elnyert forrás</t>
  </si>
  <si>
    <t>Saját erő</t>
  </si>
  <si>
    <t>ÁFA visszaté-rülés</t>
  </si>
  <si>
    <t xml:space="preserve">Projekt összesen </t>
  </si>
  <si>
    <t>Projektben el nem számolható saját költségek</t>
  </si>
  <si>
    <t>Mindössze-sen</t>
  </si>
  <si>
    <t xml:space="preserve">Korábbi években kifizetett költség </t>
  </si>
  <si>
    <t>ZMJV Önkormányzata költségvetésében 2019. évben tervezett</t>
  </si>
  <si>
    <t>Tárgyévet követő terv</t>
  </si>
  <si>
    <t>Összkölt-sége</t>
  </si>
  <si>
    <t>Forrásai</t>
  </si>
  <si>
    <t>Tárgyévet megelőző kifizetések</t>
  </si>
  <si>
    <t>2018. évi terv</t>
  </si>
  <si>
    <t xml:space="preserve">Tárgyévet követő terv </t>
  </si>
  <si>
    <t>támogatás</t>
  </si>
  <si>
    <t>önrész/megelőlegezés</t>
  </si>
  <si>
    <t>korábban kiutalt támogatás előleg</t>
  </si>
  <si>
    <t>Önkormányzat:</t>
  </si>
  <si>
    <t>TOP-6.2.1-15- ZL1-2016-00001 Andráshidai Óvoda építése</t>
  </si>
  <si>
    <t>TOP-6.1.3 -15-ZL1-2016-00001 Helyi termelői és kézműves piac kialakítása Zalaegerszegen (nettó)</t>
  </si>
  <si>
    <t>TOP 6.1.4-16-ZL1-2017-00001 Alsóerdő komplex turisztikai fejlesztése (nettó)</t>
  </si>
  <si>
    <t xml:space="preserve"> TOP-6.1.1-16-ZL1-2017-00001 Üzemcsarnok építés a Zalaegerszeg 4815/6 hrsz-ú ingatlanon (nettó)</t>
  </si>
  <si>
    <t xml:space="preserve">EFOP-4.1.7-16-2017-00031Gébárti Kézművesek Háza regionális célú népi kézműves alkotóházzá fejlesztése </t>
  </si>
  <si>
    <t xml:space="preserve"> Zalaegerszeg keleti vízbázisról ellátott települések ivóvízminőségének javítása KEHOP projekt</t>
  </si>
  <si>
    <t>Önkormányzati projektek mindösszesen:</t>
  </si>
  <si>
    <t>Költségvetési szervek:</t>
  </si>
  <si>
    <t>Zalaegerszegi Család- és Gyermekjóléti Központ:</t>
  </si>
  <si>
    <t>EFOP-3.2.9-16 - Óvodai és iskolai szociális segítő tevékenység fejlesztése "Élő kapcsolat"-Óvodai, iskolai szociális segítő tevékenység megvalósítása</t>
  </si>
  <si>
    <t>Deák Ferenc Megyei és Városi Könyvtár:</t>
  </si>
  <si>
    <t xml:space="preserve">EFOP-3.3.2-2016-00202 "Egy könyvtárnyi élmény" </t>
  </si>
  <si>
    <t>EFOP-3.7.3-16-2017-00086 "Egész életen át tartó tanulás"</t>
  </si>
  <si>
    <t>Keresztury Dezső Városi Művelődési Központ:</t>
  </si>
  <si>
    <t>EFOP-3.3.2-16-2016-00213 "Cool-Túra"</t>
  </si>
  <si>
    <t>EFOP-1.2.9-172017-00116 "Zalaegerszegi NŐ-KÖZ-PONT"</t>
  </si>
  <si>
    <t>TOP-6.9.2-16 " A helyi identitás és kohézió erősítése"</t>
  </si>
  <si>
    <t>Göcseji Múzeum:</t>
  </si>
  <si>
    <t>SI-HU 149 Back in the day</t>
  </si>
  <si>
    <t>EFOP-3.33.2-16-2016-00011 Kalandozások a múltban</t>
  </si>
  <si>
    <t>Projektek mindösszesen:</t>
  </si>
  <si>
    <t>1./1./4</t>
  </si>
  <si>
    <t xml:space="preserve"> - Egerszeg Búcsú</t>
  </si>
  <si>
    <t>Csácsbozsoki  multifunkciós pálya előkészítése</t>
  </si>
  <si>
    <t xml:space="preserve"> - Rendezvények támogatása (KRESZ verseny, Kertmozi, Alsójánkahegyi fesztivál)</t>
  </si>
  <si>
    <t>2./2</t>
  </si>
  <si>
    <t>Luther Márton szobor világításának kialakítása</t>
  </si>
  <si>
    <t>Szent László utcai óvoda nyugati oldalának a szigetelése (Közösségi ház felől)</t>
  </si>
  <si>
    <t>1./1./8</t>
  </si>
  <si>
    <t>Kertvárosi templom közvilágításra kapcsolása</t>
  </si>
  <si>
    <t xml:space="preserve">Átalszeget utca 11-13. csapadékvíz elvezetés </t>
  </si>
  <si>
    <t>Erdész utca buszmegálló rekonstrukciója</t>
  </si>
  <si>
    <t>Lépcsősor utca 1. északi oldal lépcső partfal, rézsű rekonstrukciója</t>
  </si>
  <si>
    <t>Göcseji út 45. környezetének rekonstrukciója</t>
  </si>
  <si>
    <t>Vízelveztési problémák megoldása Botfán</t>
  </si>
  <si>
    <t>Göcseji út 55/A vízelvezetés rekonstrukciója</t>
  </si>
  <si>
    <t>1./2</t>
  </si>
  <si>
    <t>1./3</t>
  </si>
  <si>
    <t>Köztársaság utca 85-89. tömb környezete megújításának tervezése és első ütem kivitelezése</t>
  </si>
  <si>
    <t xml:space="preserve"> Kertvárosi  utak, járdák felújítása,  parkoló </t>
  </si>
  <si>
    <t>Hegyalja u. 54-hez vezető lépcső felújítás</t>
  </si>
  <si>
    <t xml:space="preserve">Villanyoszlopok felállítása (Apáczai tér 5., ünnepi megvilágítás) </t>
  </si>
  <si>
    <t>Eötvös Iskola udvarának rendbetétele</t>
  </si>
  <si>
    <t>Apáczai udvarán lévő kosárlabda pálya kialakítása, kapu építés, palánk felállítása</t>
  </si>
  <si>
    <t xml:space="preserve"> - Apáczia ÁMK rendezvényeihez hozzájárulás, pénzeszközátadás</t>
  </si>
  <si>
    <t>7./2.</t>
  </si>
  <si>
    <t>Kertváros dél gyűjtősziget  kialakítása</t>
  </si>
  <si>
    <t xml:space="preserve"> - Kertváros dél körzet parkosítás</t>
  </si>
  <si>
    <t xml:space="preserve"> - Apáczai tér kutyafuttató karbantartás</t>
  </si>
  <si>
    <t>Berzsenyi utca 26 parkolófelújítás</t>
  </si>
  <si>
    <t xml:space="preserve">Berzsenyi utca 28-30. járdafelújítás </t>
  </si>
  <si>
    <t>Bozsok, Szabadság utca járda felújítás</t>
  </si>
  <si>
    <t xml:space="preserve">Csácsi – Damjanich utca buszváró csere </t>
  </si>
  <si>
    <t xml:space="preserve">Csácsi- hegyi kápolnakert 5  db zúzalékos parkolóhely kialakítása </t>
  </si>
  <si>
    <t xml:space="preserve">Csácsbozsok városrész út- és járda felújítások </t>
  </si>
  <si>
    <t>Csácsi u. - Domb utca buszváró építés</t>
  </si>
  <si>
    <t>Berzsenyi utca 28-30 parkolóóra létesítése</t>
  </si>
  <si>
    <t xml:space="preserve"> Izsák iskola- játszótér építés</t>
  </si>
  <si>
    <t>1./2/4</t>
  </si>
  <si>
    <t>1./2/5</t>
  </si>
  <si>
    <t>1./2/6</t>
  </si>
  <si>
    <t>Közvilágítás építés Jószomszédok park , Csácsi-hegy</t>
  </si>
  <si>
    <t>3./7</t>
  </si>
  <si>
    <t xml:space="preserve"> - Sportlétesítmények igénybevételének támogatása</t>
  </si>
  <si>
    <t>4./22</t>
  </si>
  <si>
    <t>4./23</t>
  </si>
  <si>
    <t>4./24</t>
  </si>
  <si>
    <t>4./25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</si>
  <si>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</si>
  <si>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</si>
  <si>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</si>
  <si>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</si>
  <si>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</si>
  <si>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</si>
  <si>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</si>
  <si>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</si>
  <si>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</si>
  <si>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</si>
  <si>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</si>
  <si>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</si>
  <si>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</si>
  <si>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</si>
  <si>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</si>
  <si>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4./41</t>
  </si>
  <si>
    <t>4./42</t>
  </si>
  <si>
    <t>4./43</t>
  </si>
  <si>
    <t>4./44</t>
  </si>
  <si>
    <t>4./45</t>
  </si>
  <si>
    <t>4./46</t>
  </si>
  <si>
    <t>4./47</t>
  </si>
  <si>
    <t xml:space="preserve">Landorhegyi út 58.  garázsokhoz bevezető út felújítása </t>
  </si>
  <si>
    <t>4.a/5</t>
  </si>
  <si>
    <t>4.a/10</t>
  </si>
  <si>
    <t>4.a/12</t>
  </si>
  <si>
    <t>Petőfi Iskola  intézményi fejlesztések támogatása</t>
  </si>
  <si>
    <t>Kutyafuttató kialakítása Baross G.utcában</t>
  </si>
  <si>
    <t>Művészlakások környezetének rendbetétele a Báthory utcában</t>
  </si>
  <si>
    <t>TOP és egyéb pályázatok előkészítése a Lakásalapból</t>
  </si>
  <si>
    <t>9.a/9</t>
  </si>
  <si>
    <t>9.a/10</t>
  </si>
  <si>
    <t>Kosztolányi óvoda intézményi fejlesztések támogatás</t>
  </si>
  <si>
    <t>Petőfi óvoda intézményi fejlesztések támogatás</t>
  </si>
  <si>
    <t>Kis utcai óvoda intézményi fejlesztések támogatása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</si>
</sst>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82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10"/>
      <name val="MS Sans Serif"/>
      <family val="0"/>
    </font>
    <font>
      <sz val="10"/>
      <color indexed="8"/>
      <name val="Times New Roman"/>
      <family val="1"/>
    </font>
    <font>
      <sz val="9"/>
      <color indexed="10"/>
      <name val="Arial CE"/>
      <family val="2"/>
    </font>
    <font>
      <i/>
      <sz val="9"/>
      <name val="Times New Roman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trike/>
      <sz val="10"/>
      <name val="Times New Roman"/>
      <family val="1"/>
    </font>
    <font>
      <strike/>
      <sz val="10"/>
      <color indexed="53"/>
      <name val="Times New Roman"/>
      <family val="1"/>
    </font>
    <font>
      <sz val="9"/>
      <color indexed="8"/>
      <name val="Times New Roman"/>
      <family val="1"/>
    </font>
    <font>
      <sz val="8"/>
      <name val="Arial CE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25" fillId="4" borderId="0" applyNumberFormat="0" applyBorder="0" applyAlignment="0" applyProtection="0"/>
    <xf numFmtId="0" fontId="43" fillId="5" borderId="0" applyNumberFormat="0" applyBorder="0" applyAlignment="0" applyProtection="0"/>
    <xf numFmtId="0" fontId="25" fillId="6" borderId="0" applyNumberFormat="0" applyBorder="0" applyAlignment="0" applyProtection="0"/>
    <xf numFmtId="0" fontId="43" fillId="7" borderId="0" applyNumberFormat="0" applyBorder="0" applyAlignment="0" applyProtection="0"/>
    <xf numFmtId="0" fontId="25" fillId="8" borderId="0" applyNumberFormat="0" applyBorder="0" applyAlignment="0" applyProtection="0"/>
    <xf numFmtId="0" fontId="43" fillId="9" borderId="0" applyNumberFormat="0" applyBorder="0" applyAlignment="0" applyProtection="0"/>
    <xf numFmtId="0" fontId="25" fillId="10" borderId="0" applyNumberFormat="0" applyBorder="0" applyAlignment="0" applyProtection="0"/>
    <xf numFmtId="0" fontId="43" fillId="11" borderId="0" applyNumberFormat="0" applyBorder="0" applyAlignment="0" applyProtection="0"/>
    <xf numFmtId="0" fontId="25" fillId="12" borderId="0" applyNumberFormat="0" applyBorder="0" applyAlignment="0" applyProtection="0"/>
    <xf numFmtId="0" fontId="43" fillId="13" borderId="0" applyNumberFormat="0" applyBorder="0" applyAlignment="0" applyProtection="0"/>
    <xf numFmtId="0" fontId="2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4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43" fillId="23" borderId="0" applyNumberFormat="0" applyBorder="0" applyAlignment="0" applyProtection="0"/>
    <xf numFmtId="0" fontId="25" fillId="10" borderId="0" applyNumberFormat="0" applyBorder="0" applyAlignment="0" applyProtection="0"/>
    <xf numFmtId="0" fontId="43" fillId="11" borderId="0" applyNumberFormat="0" applyBorder="0" applyAlignment="0" applyProtection="0"/>
    <xf numFmtId="0" fontId="25" fillId="18" borderId="0" applyNumberFormat="0" applyBorder="0" applyAlignment="0" applyProtection="0"/>
    <xf numFmtId="0" fontId="43" fillId="19" borderId="0" applyNumberFormat="0" applyBorder="0" applyAlignment="0" applyProtection="0"/>
    <xf numFmtId="0" fontId="25" fillId="17" borderId="0" applyNumberFormat="0" applyBorder="0" applyAlignment="0" applyProtection="0"/>
    <xf numFmtId="0" fontId="43" fillId="24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10" borderId="0" applyNumberFormat="0" applyBorder="0" applyAlignment="0" applyProtection="0"/>
    <xf numFmtId="0" fontId="43" fillId="18" borderId="0" applyNumberFormat="0" applyBorder="0" applyAlignment="0" applyProtection="0"/>
    <xf numFmtId="0" fontId="43" fillId="17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6" fillId="27" borderId="0" applyNumberFormat="0" applyBorder="0" applyAlignment="0" applyProtection="0"/>
    <xf numFmtId="0" fontId="44" fillId="28" borderId="0" applyNumberFormat="0" applyBorder="0" applyAlignment="0" applyProtection="0"/>
    <xf numFmtId="0" fontId="26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44" fillId="23" borderId="0" applyNumberFormat="0" applyBorder="0" applyAlignment="0" applyProtection="0"/>
    <xf numFmtId="0" fontId="26" fillId="29" borderId="0" applyNumberFormat="0" applyBorder="0" applyAlignment="0" applyProtection="0"/>
    <xf numFmtId="0" fontId="44" fillId="30" borderId="0" applyNumberFormat="0" applyBorder="0" applyAlignment="0" applyProtection="0"/>
    <xf numFmtId="0" fontId="26" fillId="2" borderId="0" applyNumberFormat="0" applyBorder="0" applyAlignment="0" applyProtection="0"/>
    <xf numFmtId="0" fontId="44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9" borderId="0" applyNumberFormat="0" applyBorder="0" applyAlignment="0" applyProtection="0"/>
    <xf numFmtId="0" fontId="44" fillId="2" borderId="0" applyNumberFormat="0" applyBorder="0" applyAlignment="0" applyProtection="0"/>
    <xf numFmtId="0" fontId="44" fillId="32" borderId="0" applyNumberFormat="0" applyBorder="0" applyAlignment="0" applyProtection="0"/>
    <xf numFmtId="0" fontId="44" fillId="25" borderId="0" applyNumberFormat="0" applyBorder="0" applyAlignment="0" applyProtection="0"/>
    <xf numFmtId="0" fontId="44" fillId="34" borderId="0" applyNumberFormat="0" applyBorder="0" applyAlignment="0" applyProtection="0"/>
    <xf numFmtId="0" fontId="44" fillId="26" borderId="0" applyNumberFormat="0" applyBorder="0" applyAlignment="0" applyProtection="0"/>
    <xf numFmtId="0" fontId="44" fillId="29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6" borderId="0" applyNumberFormat="0" applyBorder="0" applyAlignment="0" applyProtection="0"/>
    <xf numFmtId="0" fontId="27" fillId="14" borderId="1" applyNumberFormat="0" applyAlignment="0" applyProtection="0"/>
    <xf numFmtId="0" fontId="53" fillId="15" borderId="1" applyNumberFormat="0" applyAlignment="0" applyProtection="0"/>
    <xf numFmtId="0" fontId="46" fillId="35" borderId="1" applyNumberFormat="0" applyAlignment="0" applyProtection="0"/>
    <xf numFmtId="0" fontId="47" fillId="16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50" fillId="0" borderId="4" applyNumberFormat="0" applyFill="0" applyAlignment="0" applyProtection="0"/>
    <xf numFmtId="0" fontId="30" fillId="0" borderId="5" applyNumberFormat="0" applyFill="0" applyAlignment="0" applyProtection="0"/>
    <xf numFmtId="0" fontId="51" fillId="0" borderId="6" applyNumberFormat="0" applyFill="0" applyAlignment="0" applyProtection="0"/>
    <xf numFmtId="0" fontId="31" fillId="0" borderId="7" applyNumberFormat="0" applyFill="0" applyAlignment="0" applyProtection="0"/>
    <xf numFmtId="0" fontId="5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16" borderId="2" applyNumberFormat="0" applyAlignment="0" applyProtection="0"/>
    <xf numFmtId="0" fontId="47" fillId="36" borderId="2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5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54" fillId="0" borderId="9" applyNumberFormat="0" applyFill="0" applyAlignment="0" applyProtection="0"/>
    <xf numFmtId="0" fontId="53" fillId="14" borderId="1" applyNumberFormat="0" applyAlignment="0" applyProtection="0"/>
    <xf numFmtId="0" fontId="18" fillId="37" borderId="10" applyNumberFormat="0" applyFont="0" applyAlignment="0" applyProtection="0"/>
    <xf numFmtId="0" fontId="4" fillId="38" borderId="10" applyNumberFormat="0" applyAlignment="0" applyProtection="0"/>
    <xf numFmtId="0" fontId="26" fillId="25" borderId="0" applyNumberFormat="0" applyBorder="0" applyAlignment="0" applyProtection="0"/>
    <xf numFmtId="0" fontId="44" fillId="39" borderId="0" applyNumberFormat="0" applyBorder="0" applyAlignment="0" applyProtection="0"/>
    <xf numFmtId="0" fontId="26" fillId="34" borderId="0" applyNumberFormat="0" applyBorder="0" applyAlignment="0" applyProtection="0"/>
    <xf numFmtId="0" fontId="44" fillId="40" borderId="0" applyNumberFormat="0" applyBorder="0" applyAlignment="0" applyProtection="0"/>
    <xf numFmtId="0" fontId="26" fillId="26" borderId="0" applyNumberFormat="0" applyBorder="0" applyAlignment="0" applyProtection="0"/>
    <xf numFmtId="0" fontId="44" fillId="41" borderId="0" applyNumberFormat="0" applyBorder="0" applyAlignment="0" applyProtection="0"/>
    <xf numFmtId="0" fontId="26" fillId="29" borderId="0" applyNumberFormat="0" applyBorder="0" applyAlignment="0" applyProtection="0"/>
    <xf numFmtId="0" fontId="44" fillId="30" borderId="0" applyNumberFormat="0" applyBorder="0" applyAlignment="0" applyProtection="0"/>
    <xf numFmtId="0" fontId="26" fillId="2" borderId="0" applyNumberFormat="0" applyBorder="0" applyAlignment="0" applyProtection="0"/>
    <xf numFmtId="0" fontId="44" fillId="31" borderId="0" applyNumberFormat="0" applyBorder="0" applyAlignment="0" applyProtection="0"/>
    <xf numFmtId="0" fontId="26" fillId="3" borderId="0" applyNumberFormat="0" applyBorder="0" applyAlignment="0" applyProtection="0"/>
    <xf numFmtId="0" fontId="44" fillId="42" borderId="0" applyNumberFormat="0" applyBorder="0" applyAlignment="0" applyProtection="0"/>
    <xf numFmtId="0" fontId="44" fillId="25" borderId="0" applyNumberFormat="0" applyBorder="0" applyAlignment="0" applyProtection="0"/>
    <xf numFmtId="0" fontId="44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" borderId="0" applyNumberFormat="0" applyBorder="0" applyAlignment="0" applyProtection="0"/>
    <xf numFmtId="0" fontId="44" fillId="26" borderId="0" applyNumberFormat="0" applyBorder="0" applyAlignment="0" applyProtection="0"/>
    <xf numFmtId="0" fontId="35" fillId="8" borderId="0" applyNumberFormat="0" applyBorder="0" applyAlignment="0" applyProtection="0"/>
    <xf numFmtId="0" fontId="49" fillId="9" borderId="0" applyNumberFormat="0" applyBorder="0" applyAlignment="0" applyProtection="0"/>
    <xf numFmtId="0" fontId="36" fillId="35" borderId="11" applyNumberFormat="0" applyAlignment="0" applyProtection="0"/>
    <xf numFmtId="0" fontId="56" fillId="43" borderId="11" applyNumberFormat="0" applyAlignment="0" applyProtection="0"/>
    <xf numFmtId="0" fontId="5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3" fillId="37" borderId="10" applyNumberFormat="0" applyFont="0" applyAlignment="0" applyProtection="0"/>
    <xf numFmtId="0" fontId="56" fillId="35" borderId="11" applyNumberFormat="0" applyAlignment="0" applyProtection="0"/>
    <xf numFmtId="0" fontId="38" fillId="0" borderId="12" applyNumberFormat="0" applyFill="0" applyAlignment="0" applyProtection="0"/>
    <xf numFmtId="0" fontId="57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5" fillId="7" borderId="0" applyNumberFormat="0" applyBorder="0" applyAlignment="0" applyProtection="0"/>
    <xf numFmtId="0" fontId="40" fillId="44" borderId="0" applyNumberFormat="0" applyBorder="0" applyAlignment="0" applyProtection="0"/>
    <xf numFmtId="0" fontId="55" fillId="45" borderId="0" applyNumberFormat="0" applyBorder="0" applyAlignment="0" applyProtection="0"/>
    <xf numFmtId="0" fontId="41" fillId="35" borderId="1" applyNumberFormat="0" applyAlignment="0" applyProtection="0"/>
    <xf numFmtId="0" fontId="46" fillId="43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</cellStyleXfs>
  <cellXfs count="824">
    <xf numFmtId="0" fontId="0" fillId="0" borderId="0" xfId="0" applyAlignment="1">
      <alignment/>
    </xf>
    <xf numFmtId="0" fontId="8" fillId="0" borderId="13" xfId="177" applyFont="1" applyBorder="1" applyAlignment="1">
      <alignment horizontal="center" vertical="center"/>
      <protection/>
    </xf>
    <xf numFmtId="0" fontId="8" fillId="8" borderId="13" xfId="177" applyFont="1" applyFill="1" applyBorder="1" applyAlignment="1">
      <alignment horizontal="center" vertical="center"/>
      <protection/>
    </xf>
    <xf numFmtId="0" fontId="8" fillId="0" borderId="13" xfId="177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191" applyNumberFormat="1" applyFont="1" applyBorder="1" applyAlignment="1">
      <alignment horizontal="center" vertical="center"/>
      <protection/>
    </xf>
    <xf numFmtId="3" fontId="13" fillId="0" borderId="13" xfId="191" applyNumberFormat="1" applyFont="1" applyBorder="1" applyAlignment="1">
      <alignment horizontal="right" vertical="center"/>
      <protection/>
    </xf>
    <xf numFmtId="3" fontId="13" fillId="0" borderId="13" xfId="191" applyNumberFormat="1" applyFont="1" applyBorder="1" applyAlignment="1">
      <alignment vertical="center"/>
      <protection/>
    </xf>
    <xf numFmtId="3" fontId="12" fillId="8" borderId="13" xfId="191" applyNumberFormat="1" applyFont="1" applyFill="1" applyBorder="1" applyAlignment="1">
      <alignment horizontal="right" vertical="center"/>
      <protection/>
    </xf>
    <xf numFmtId="3" fontId="12" fillId="8" borderId="13" xfId="191" applyNumberFormat="1" applyFont="1" applyFill="1" applyBorder="1" applyAlignment="1">
      <alignment vertical="center"/>
      <protection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5" fillId="0" borderId="0" xfId="144" applyAlignment="1">
      <alignment vertical="center"/>
      <protection/>
    </xf>
    <xf numFmtId="0" fontId="5" fillId="0" borderId="0" xfId="144" applyAlignment="1">
      <alignment vertical="top"/>
      <protection/>
    </xf>
    <xf numFmtId="0" fontId="16" fillId="0" borderId="0" xfId="144" applyFont="1" applyAlignment="1">
      <alignment vertical="center"/>
      <protection/>
    </xf>
    <xf numFmtId="3" fontId="5" fillId="0" borderId="0" xfId="144" applyNumberFormat="1" applyAlignment="1">
      <alignment vertical="center"/>
      <protection/>
    </xf>
    <xf numFmtId="3" fontId="6" fillId="0" borderId="0" xfId="191" applyNumberFormat="1" applyFont="1" applyAlignment="1">
      <alignment vertical="center"/>
      <protection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12" fillId="8" borderId="19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/>
    </xf>
    <xf numFmtId="3" fontId="12" fillId="8" borderId="21" xfId="0" applyNumberFormat="1" applyFont="1" applyFill="1" applyBorder="1" applyAlignment="1">
      <alignment vertical="center"/>
    </xf>
    <xf numFmtId="3" fontId="12" fillId="8" borderId="22" xfId="0" applyNumberFormat="1" applyFont="1" applyFill="1" applyBorder="1" applyAlignment="1">
      <alignment horizontal="left" vertical="center" wrapText="1"/>
    </xf>
    <xf numFmtId="3" fontId="17" fillId="0" borderId="0" xfId="191" applyNumberFormat="1" applyFont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44" applyFont="1" applyBorder="1" applyAlignment="1">
      <alignment vertical="center"/>
      <protection/>
    </xf>
    <xf numFmtId="0" fontId="13" fillId="0" borderId="13" xfId="144" applyFont="1" applyBorder="1" applyAlignment="1">
      <alignment horizontal="center" vertical="center"/>
      <protection/>
    </xf>
    <xf numFmtId="3" fontId="13" fillId="0" borderId="13" xfId="144" applyNumberFormat="1" applyFont="1" applyBorder="1" applyAlignment="1">
      <alignment vertical="center"/>
      <protection/>
    </xf>
    <xf numFmtId="0" fontId="12" fillId="8" borderId="13" xfId="144" applyFont="1" applyFill="1" applyBorder="1" applyAlignment="1">
      <alignment horizontal="center" vertical="center"/>
      <protection/>
    </xf>
    <xf numFmtId="0" fontId="12" fillId="8" borderId="13" xfId="144" applyFont="1" applyFill="1" applyBorder="1" applyAlignment="1">
      <alignment vertical="center"/>
      <protection/>
    </xf>
    <xf numFmtId="0" fontId="8" fillId="0" borderId="13" xfId="144" applyFont="1" applyBorder="1" applyAlignment="1">
      <alignment horizontal="center" vertical="center"/>
      <protection/>
    </xf>
    <xf numFmtId="3" fontId="13" fillId="0" borderId="13" xfId="191" applyNumberFormat="1" applyFont="1" applyBorder="1" applyAlignment="1">
      <alignment horizontal="left" vertical="center" wrapText="1"/>
      <protection/>
    </xf>
    <xf numFmtId="3" fontId="13" fillId="0" borderId="13" xfId="191" applyNumberFormat="1" applyFont="1" applyBorder="1" applyAlignment="1">
      <alignment horizontal="left" vertical="center"/>
      <protection/>
    </xf>
    <xf numFmtId="3" fontId="13" fillId="8" borderId="13" xfId="191" applyNumberFormat="1" applyFont="1" applyFill="1" applyBorder="1" applyAlignment="1">
      <alignment horizontal="center" vertical="center"/>
      <protection/>
    </xf>
    <xf numFmtId="3" fontId="9" fillId="46" borderId="23" xfId="191" applyNumberFormat="1" applyFont="1" applyFill="1" applyBorder="1" applyAlignment="1">
      <alignment horizontal="center" vertical="center" wrapText="1"/>
      <protection/>
    </xf>
    <xf numFmtId="3" fontId="8" fillId="0" borderId="13" xfId="191" applyNumberFormat="1" applyFont="1" applyBorder="1" applyAlignment="1">
      <alignment horizontal="center" vertical="center"/>
      <protection/>
    </xf>
    <xf numFmtId="3" fontId="8" fillId="0" borderId="13" xfId="191" applyNumberFormat="1" applyFont="1" applyBorder="1" applyAlignment="1">
      <alignment horizontal="left" vertical="center" wrapText="1"/>
      <protection/>
    </xf>
    <xf numFmtId="3" fontId="8" fillId="0" borderId="13" xfId="191" applyNumberFormat="1" applyFont="1" applyBorder="1" applyAlignment="1">
      <alignment vertical="center"/>
      <protection/>
    </xf>
    <xf numFmtId="3" fontId="8" fillId="0" borderId="13" xfId="191" applyNumberFormat="1" applyFont="1" applyBorder="1" applyAlignment="1">
      <alignment horizontal="left" vertical="center"/>
      <protection/>
    </xf>
    <xf numFmtId="3" fontId="8" fillId="8" borderId="13" xfId="191" applyNumberFormat="1" applyFont="1" applyFill="1" applyBorder="1" applyAlignment="1">
      <alignment horizontal="center" vertical="center"/>
      <protection/>
    </xf>
    <xf numFmtId="3" fontId="9" fillId="8" borderId="13" xfId="191" applyNumberFormat="1" applyFont="1" applyFill="1" applyBorder="1" applyAlignment="1">
      <alignment horizontal="left" vertical="center" wrapText="1"/>
      <protection/>
    </xf>
    <xf numFmtId="3" fontId="9" fillId="8" borderId="13" xfId="191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44" applyNumberFormat="1" applyFont="1" applyFill="1" applyBorder="1" applyAlignment="1">
      <alignment vertical="center"/>
      <protection/>
    </xf>
    <xf numFmtId="3" fontId="9" fillId="0" borderId="13" xfId="191" applyNumberFormat="1" applyFont="1" applyBorder="1" applyAlignment="1">
      <alignment vertical="center"/>
      <protection/>
    </xf>
    <xf numFmtId="3" fontId="9" fillId="0" borderId="13" xfId="191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12" fillId="8" borderId="13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5" fillId="47" borderId="13" xfId="191" applyNumberFormat="1" applyFont="1" applyFill="1" applyBorder="1" applyAlignment="1">
      <alignment horizontal="center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0" fontId="5" fillId="0" borderId="0" xfId="146" applyAlignment="1">
      <alignment vertical="center"/>
      <protection/>
    </xf>
    <xf numFmtId="3" fontId="8" fillId="0" borderId="13" xfId="177" applyNumberFormat="1" applyFont="1" applyBorder="1" applyAlignment="1">
      <alignment vertical="center"/>
      <protection/>
    </xf>
    <xf numFmtId="0" fontId="9" fillId="8" borderId="13" xfId="177" applyFont="1" applyFill="1" applyBorder="1" applyAlignment="1">
      <alignment horizontal="center" vertical="center"/>
      <protection/>
    </xf>
    <xf numFmtId="3" fontId="9" fillId="8" borderId="13" xfId="177" applyNumberFormat="1" applyFont="1" applyFill="1" applyBorder="1" applyAlignment="1">
      <alignment vertical="center"/>
      <protection/>
    </xf>
    <xf numFmtId="0" fontId="22" fillId="0" borderId="0" xfId="146" applyFont="1" applyAlignment="1">
      <alignment vertical="center"/>
      <protection/>
    </xf>
    <xf numFmtId="0" fontId="8" fillId="0" borderId="13" xfId="177" applyFont="1" applyFill="1" applyBorder="1" applyAlignment="1">
      <alignment horizontal="center" vertical="center"/>
      <protection/>
    </xf>
    <xf numFmtId="0" fontId="9" fillId="0" borderId="13" xfId="177" applyFont="1" applyFill="1" applyBorder="1" applyAlignment="1">
      <alignment horizontal="center" vertical="center"/>
      <protection/>
    </xf>
    <xf numFmtId="3" fontId="8" fillId="0" borderId="13" xfId="177" applyNumberFormat="1" applyFont="1" applyBorder="1" applyAlignment="1">
      <alignment vertical="center" wrapText="1"/>
      <protection/>
    </xf>
    <xf numFmtId="0" fontId="8" fillId="0" borderId="24" xfId="177" applyFont="1" applyBorder="1" applyAlignment="1">
      <alignment horizontal="center" vertical="center"/>
      <protection/>
    </xf>
    <xf numFmtId="0" fontId="8" fillId="0" borderId="21" xfId="177" applyFont="1" applyBorder="1" applyAlignment="1">
      <alignment horizontal="center" vertical="center"/>
      <protection/>
    </xf>
    <xf numFmtId="0" fontId="5" fillId="0" borderId="0" xfId="146">
      <alignment/>
      <protection/>
    </xf>
    <xf numFmtId="3" fontId="9" fillId="8" borderId="13" xfId="177" applyNumberFormat="1" applyFont="1" applyFill="1" applyBorder="1" applyAlignment="1">
      <alignment vertical="center" wrapText="1"/>
      <protection/>
    </xf>
    <xf numFmtId="3" fontId="12" fillId="8" borderId="24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12" fillId="8" borderId="25" xfId="0" applyNumberFormat="1" applyFont="1" applyFill="1" applyBorder="1" applyAlignment="1">
      <alignment vertical="center" wrapText="1"/>
    </xf>
    <xf numFmtId="3" fontId="12" fillId="8" borderId="26" xfId="0" applyNumberFormat="1" applyFont="1" applyFill="1" applyBorder="1" applyAlignment="1">
      <alignment vertical="center"/>
    </xf>
    <xf numFmtId="3" fontId="12" fillId="8" borderId="26" xfId="0" applyNumberFormat="1" applyFont="1" applyFill="1" applyBorder="1" applyAlignment="1">
      <alignment vertical="center" wrapText="1"/>
    </xf>
    <xf numFmtId="0" fontId="12" fillId="8" borderId="13" xfId="144" applyFont="1" applyFill="1" applyBorder="1" applyAlignment="1">
      <alignment vertical="center" wrapText="1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8" fillId="0" borderId="14" xfId="177" applyFont="1" applyBorder="1" applyAlignment="1">
      <alignment vertical="center"/>
      <protection/>
    </xf>
    <xf numFmtId="0" fontId="8" fillId="0" borderId="14" xfId="177" applyFont="1" applyBorder="1" applyAlignment="1">
      <alignment vertical="center" wrapText="1"/>
      <protection/>
    </xf>
    <xf numFmtId="0" fontId="9" fillId="8" borderId="14" xfId="177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4" fillId="0" borderId="14" xfId="144" applyFont="1" applyBorder="1" applyAlignment="1">
      <alignment vertical="center"/>
      <protection/>
    </xf>
    <xf numFmtId="3" fontId="12" fillId="8" borderId="27" xfId="191" applyNumberFormat="1" applyFont="1" applyFill="1" applyBorder="1" applyAlignment="1">
      <alignment horizontal="center" vertical="center" wrapText="1"/>
      <protection/>
    </xf>
    <xf numFmtId="0" fontId="12" fillId="8" borderId="13" xfId="144" applyFont="1" applyFill="1" applyBorder="1" applyAlignment="1">
      <alignment horizontal="center" vertical="center" wrapText="1"/>
      <protection/>
    </xf>
    <xf numFmtId="3" fontId="12" fillId="8" borderId="13" xfId="191" applyNumberFormat="1" applyFont="1" applyFill="1" applyBorder="1" applyAlignment="1">
      <alignment horizontal="center" vertical="center" wrapText="1"/>
      <protection/>
    </xf>
    <xf numFmtId="0" fontId="59" fillId="8" borderId="13" xfId="0" applyFont="1" applyFill="1" applyBorder="1" applyAlignment="1">
      <alignment horizontal="center" vertical="center" wrapText="1"/>
    </xf>
    <xf numFmtId="0" fontId="12" fillId="8" borderId="13" xfId="144" applyFont="1" applyFill="1" applyBorder="1" applyAlignment="1">
      <alignment horizontal="center" vertical="top" wrapText="1"/>
      <protection/>
    </xf>
    <xf numFmtId="3" fontId="8" fillId="8" borderId="24" xfId="0" applyNumberFormat="1" applyFont="1" applyFill="1" applyBorder="1" applyAlignment="1">
      <alignment horizontal="center" vertical="center" wrapText="1"/>
    </xf>
    <xf numFmtId="0" fontId="13" fillId="0" borderId="13" xfId="144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13" fillId="0" borderId="14" xfId="177" applyFont="1" applyBorder="1" applyAlignment="1">
      <alignment vertical="center" wrapText="1"/>
      <protection/>
    </xf>
    <xf numFmtId="0" fontId="59" fillId="8" borderId="14" xfId="0" applyFont="1" applyFill="1" applyBorder="1" applyAlignment="1">
      <alignment horizontal="center" vertical="center" wrapText="1"/>
    </xf>
    <xf numFmtId="0" fontId="13" fillId="0" borderId="21" xfId="144" applyFont="1" applyBorder="1" applyAlignment="1">
      <alignment vertical="center"/>
      <protection/>
    </xf>
    <xf numFmtId="3" fontId="12" fillId="8" borderId="21" xfId="191" applyNumberFormat="1" applyFont="1" applyFill="1" applyBorder="1" applyAlignment="1">
      <alignment horizontal="center" vertical="center" wrapText="1"/>
      <protection/>
    </xf>
    <xf numFmtId="3" fontId="12" fillId="8" borderId="28" xfId="191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 wrapText="1"/>
    </xf>
    <xf numFmtId="0" fontId="13" fillId="0" borderId="14" xfId="177" applyFont="1" applyBorder="1" applyAlignment="1">
      <alignment vertical="center"/>
      <protection/>
    </xf>
    <xf numFmtId="3" fontId="13" fillId="0" borderId="14" xfId="191" applyNumberFormat="1" applyFont="1" applyBorder="1" applyAlignment="1">
      <alignment horizontal="left" vertical="center"/>
      <protection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9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5" fillId="0" borderId="0" xfId="145" applyAlignment="1">
      <alignment vertical="center"/>
      <protection/>
    </xf>
    <xf numFmtId="0" fontId="5" fillId="0" borderId="0" xfId="145" applyAlignment="1">
      <alignment vertical="top"/>
      <protection/>
    </xf>
    <xf numFmtId="3" fontId="5" fillId="0" borderId="0" xfId="145" applyNumberFormat="1" applyAlignment="1">
      <alignment vertical="center"/>
      <protection/>
    </xf>
    <xf numFmtId="0" fontId="13" fillId="0" borderId="14" xfId="144" applyFont="1" applyBorder="1" applyAlignment="1">
      <alignment vertical="center"/>
      <protection/>
    </xf>
    <xf numFmtId="3" fontId="12" fillId="0" borderId="13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3" fontId="13" fillId="0" borderId="30" xfId="0" applyNumberFormat="1" applyFont="1" applyBorder="1" applyAlignment="1">
      <alignment vertical="center"/>
    </xf>
    <xf numFmtId="3" fontId="13" fillId="0" borderId="15" xfId="0" applyNumberFormat="1" applyFont="1" applyFill="1" applyBorder="1" applyAlignment="1">
      <alignment horizontal="right" vertical="center"/>
    </xf>
    <xf numFmtId="169" fontId="8" fillId="0" borderId="13" xfId="98" applyNumberFormat="1" applyFont="1" applyBorder="1" applyAlignment="1">
      <alignment horizontal="center" vertical="center" wrapText="1"/>
    </xf>
    <xf numFmtId="0" fontId="13" fillId="9" borderId="31" xfId="156" applyFont="1" applyFill="1" applyBorder="1" applyAlignment="1">
      <alignment vertical="center"/>
      <protection/>
    </xf>
    <xf numFmtId="0" fontId="6" fillId="0" borderId="0" xfId="156" applyFont="1" applyAlignment="1">
      <alignment vertical="center"/>
      <protection/>
    </xf>
    <xf numFmtId="0" fontId="12" fillId="9" borderId="32" xfId="156" applyFont="1" applyFill="1" applyBorder="1" applyAlignment="1">
      <alignment horizontal="center" vertical="top"/>
      <protection/>
    </xf>
    <xf numFmtId="3" fontId="12" fillId="9" borderId="33" xfId="156" applyNumberFormat="1" applyFont="1" applyFill="1" applyBorder="1" applyAlignment="1">
      <alignment horizontal="center" vertical="center" wrapText="1"/>
      <protection/>
    </xf>
    <xf numFmtId="3" fontId="12" fillId="9" borderId="34" xfId="156" applyNumberFormat="1" applyFont="1" applyFill="1" applyBorder="1" applyAlignment="1">
      <alignment horizontal="center" vertical="center" wrapText="1"/>
      <protection/>
    </xf>
    <xf numFmtId="3" fontId="6" fillId="0" borderId="0" xfId="156" applyNumberFormat="1" applyFont="1" applyAlignment="1">
      <alignment vertical="center"/>
      <protection/>
    </xf>
    <xf numFmtId="0" fontId="12" fillId="9" borderId="35" xfId="156" applyFont="1" applyFill="1" applyBorder="1" applyAlignment="1">
      <alignment vertical="center"/>
      <protection/>
    </xf>
    <xf numFmtId="3" fontId="12" fillId="9" borderId="35" xfId="156" applyNumberFormat="1" applyFont="1" applyFill="1" applyBorder="1" applyAlignment="1">
      <alignment vertical="center"/>
      <protection/>
    </xf>
    <xf numFmtId="0" fontId="12" fillId="8" borderId="13" xfId="145" applyFont="1" applyFill="1" applyBorder="1" applyAlignment="1">
      <alignment horizontal="center" vertical="center" wrapText="1"/>
      <protection/>
    </xf>
    <xf numFmtId="0" fontId="21" fillId="0" borderId="13" xfId="168" applyFont="1" applyFill="1" applyBorder="1" applyAlignment="1">
      <alignment horizontal="left" vertical="center" wrapText="1"/>
      <protection/>
    </xf>
    <xf numFmtId="3" fontId="13" fillId="0" borderId="13" xfId="145" applyNumberFormat="1" applyFont="1" applyBorder="1" applyAlignment="1">
      <alignment vertical="center"/>
      <protection/>
    </xf>
    <xf numFmtId="0" fontId="13" fillId="0" borderId="13" xfId="169" applyFont="1" applyFill="1" applyBorder="1" applyAlignment="1">
      <alignment vertical="center" wrapText="1"/>
      <protection/>
    </xf>
    <xf numFmtId="0" fontId="13" fillId="0" borderId="13" xfId="169" applyFont="1" applyFill="1" applyBorder="1" applyAlignment="1">
      <alignment vertical="center"/>
      <protection/>
    </xf>
    <xf numFmtId="0" fontId="13" fillId="0" borderId="13" xfId="169" applyFont="1" applyBorder="1" applyAlignment="1">
      <alignment vertical="center"/>
      <protection/>
    </xf>
    <xf numFmtId="0" fontId="13" fillId="0" borderId="13" xfId="180" applyFont="1" applyFill="1" applyBorder="1" applyAlignment="1">
      <alignment vertical="center"/>
      <protection/>
    </xf>
    <xf numFmtId="0" fontId="9" fillId="8" borderId="13" xfId="145" applyFont="1" applyFill="1" applyBorder="1" applyAlignment="1">
      <alignment horizontal="center" vertical="center"/>
      <protection/>
    </xf>
    <xf numFmtId="0" fontId="9" fillId="8" borderId="13" xfId="145" applyFont="1" applyFill="1" applyBorder="1" applyAlignment="1">
      <alignment vertical="center" wrapText="1"/>
      <protection/>
    </xf>
    <xf numFmtId="3" fontId="9" fillId="8" borderId="13" xfId="145" applyNumberFormat="1" applyFont="1" applyFill="1" applyBorder="1" applyAlignment="1">
      <alignment vertical="center"/>
      <protection/>
    </xf>
    <xf numFmtId="3" fontId="62" fillId="0" borderId="0" xfId="145" applyNumberFormat="1" applyFont="1" applyAlignment="1">
      <alignment vertical="center"/>
      <protection/>
    </xf>
    <xf numFmtId="0" fontId="12" fillId="8" borderId="13" xfId="145" applyFont="1" applyFill="1" applyBorder="1" applyAlignment="1">
      <alignment horizontal="center" vertical="center"/>
      <protection/>
    </xf>
    <xf numFmtId="0" fontId="12" fillId="8" borderId="13" xfId="145" applyFont="1" applyFill="1" applyBorder="1" applyAlignment="1">
      <alignment vertical="center" wrapText="1"/>
      <protection/>
    </xf>
    <xf numFmtId="0" fontId="9" fillId="0" borderId="28" xfId="177" applyFont="1" applyBorder="1" applyAlignment="1">
      <alignment vertical="center"/>
      <protection/>
    </xf>
    <xf numFmtId="0" fontId="9" fillId="0" borderId="14" xfId="177" applyFont="1" applyBorder="1" applyAlignment="1">
      <alignment vertical="center"/>
      <protection/>
    </xf>
    <xf numFmtId="0" fontId="8" fillId="0" borderId="14" xfId="144" applyFont="1" applyBorder="1" applyAlignment="1">
      <alignment vertical="center"/>
      <protection/>
    </xf>
    <xf numFmtId="0" fontId="8" fillId="0" borderId="28" xfId="177" applyFont="1" applyBorder="1" applyAlignment="1">
      <alignment vertical="center" wrapText="1"/>
      <protection/>
    </xf>
    <xf numFmtId="0" fontId="8" fillId="0" borderId="14" xfId="146" applyFont="1" applyBorder="1" applyAlignment="1">
      <alignment vertical="center"/>
      <protection/>
    </xf>
    <xf numFmtId="0" fontId="8" fillId="0" borderId="28" xfId="177" applyFont="1" applyBorder="1" applyAlignment="1">
      <alignment vertical="center"/>
      <protection/>
    </xf>
    <xf numFmtId="0" fontId="8" fillId="0" borderId="14" xfId="146" applyFont="1" applyBorder="1" applyAlignment="1">
      <alignment vertical="center" wrapText="1"/>
      <protection/>
    </xf>
    <xf numFmtId="0" fontId="8" fillId="0" borderId="36" xfId="146" applyFont="1" applyBorder="1" applyAlignment="1">
      <alignment vertical="center" wrapText="1"/>
      <protection/>
    </xf>
    <xf numFmtId="0" fontId="9" fillId="8" borderId="14" xfId="144" applyFont="1" applyFill="1" applyBorder="1" applyAlignment="1">
      <alignment vertical="center" wrapText="1"/>
      <protection/>
    </xf>
    <xf numFmtId="3" fontId="8" fillId="0" borderId="13" xfId="0" applyNumberFormat="1" applyFont="1" applyBorder="1" applyAlignment="1">
      <alignment vertical="center"/>
    </xf>
    <xf numFmtId="0" fontId="8" fillId="8" borderId="13" xfId="0" applyFont="1" applyFill="1" applyBorder="1" applyAlignment="1">
      <alignment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9" fillId="0" borderId="13" xfId="177" applyFont="1" applyBorder="1" applyAlignment="1">
      <alignment horizontal="center" vertical="center"/>
      <protection/>
    </xf>
    <xf numFmtId="0" fontId="13" fillId="0" borderId="13" xfId="177" applyFont="1" applyBorder="1" applyAlignment="1">
      <alignment horizontal="center" vertical="center" wrapText="1"/>
      <protection/>
    </xf>
    <xf numFmtId="169" fontId="9" fillId="8" borderId="13" xfId="98" applyNumberFormat="1" applyFont="1" applyFill="1" applyBorder="1" applyAlignment="1">
      <alignment horizontal="center" vertical="center"/>
    </xf>
    <xf numFmtId="169" fontId="8" fillId="0" borderId="13" xfId="98" applyNumberFormat="1" applyFont="1" applyBorder="1" applyAlignment="1">
      <alignment horizontal="center" vertical="center"/>
    </xf>
    <xf numFmtId="3" fontId="9" fillId="8" borderId="13" xfId="0" applyNumberFormat="1" applyFont="1" applyFill="1" applyBorder="1" applyAlignment="1">
      <alignment horizontal="center" vertical="center"/>
    </xf>
    <xf numFmtId="3" fontId="8" fillId="0" borderId="13" xfId="177" applyNumberFormat="1" applyFont="1" applyBorder="1" applyAlignment="1">
      <alignment horizontal="center" vertical="center" wrapText="1"/>
      <protection/>
    </xf>
    <xf numFmtId="0" fontId="8" fillId="0" borderId="13" xfId="177" applyFont="1" applyBorder="1" applyAlignment="1">
      <alignment horizontal="center" vertical="center" wrapText="1"/>
      <protection/>
    </xf>
    <xf numFmtId="3" fontId="8" fillId="0" borderId="13" xfId="177" applyNumberFormat="1" applyFont="1" applyBorder="1" applyAlignment="1">
      <alignment horizontal="center" vertical="center"/>
      <protection/>
    </xf>
    <xf numFmtId="3" fontId="8" fillId="0" borderId="13" xfId="146" applyNumberFormat="1" applyFont="1" applyBorder="1" applyAlignment="1">
      <alignment horizontal="center" vertical="center"/>
      <protection/>
    </xf>
    <xf numFmtId="0" fontId="8" fillId="0" borderId="13" xfId="146" applyFont="1" applyBorder="1" applyAlignment="1">
      <alignment horizontal="center" vertical="center" wrapText="1"/>
      <protection/>
    </xf>
    <xf numFmtId="0" fontId="9" fillId="8" borderId="13" xfId="144" applyFont="1" applyFill="1" applyBorder="1" applyAlignment="1">
      <alignment horizontal="center" vertical="center" wrapText="1"/>
      <protection/>
    </xf>
    <xf numFmtId="0" fontId="5" fillId="0" borderId="0" xfId="146" applyAlignment="1">
      <alignment horizontal="center"/>
      <protection/>
    </xf>
    <xf numFmtId="0" fontId="8" fillId="0" borderId="13" xfId="177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36" xfId="144" applyFont="1" applyBorder="1" applyAlignment="1">
      <alignment vertical="center"/>
      <protection/>
    </xf>
    <xf numFmtId="0" fontId="9" fillId="8" borderId="13" xfId="177" applyFont="1" applyFill="1" applyBorder="1" applyAlignment="1">
      <alignment vertical="center"/>
      <protection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9" fillId="0" borderId="21" xfId="177" applyFont="1" applyBorder="1" applyAlignment="1">
      <alignment horizontal="center" vertical="center"/>
      <protection/>
    </xf>
    <xf numFmtId="0" fontId="8" fillId="0" borderId="21" xfId="177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44" applyFont="1" applyFill="1" applyBorder="1" applyAlignment="1">
      <alignment horizontal="center" vertical="top" wrapText="1"/>
      <protection/>
    </xf>
    <xf numFmtId="3" fontId="8" fillId="3" borderId="35" xfId="156" applyNumberFormat="1" applyFont="1" applyFill="1" applyBorder="1" applyAlignment="1">
      <alignment vertical="center"/>
      <protection/>
    </xf>
    <xf numFmtId="3" fontId="12" fillId="8" borderId="15" xfId="0" applyNumberFormat="1" applyFont="1" applyFill="1" applyBorder="1" applyAlignment="1">
      <alignment horizontal="right" vertical="center"/>
    </xf>
    <xf numFmtId="3" fontId="13" fillId="8" borderId="13" xfId="191" applyNumberFormat="1" applyFont="1" applyFill="1" applyBorder="1" applyAlignment="1">
      <alignment horizontal="right" vertical="center"/>
      <protection/>
    </xf>
    <xf numFmtId="3" fontId="64" fillId="0" borderId="0" xfId="0" applyNumberFormat="1" applyFont="1" applyAlignment="1">
      <alignment vertical="center"/>
    </xf>
    <xf numFmtId="3" fontId="13" fillId="48" borderId="37" xfId="0" applyNumberFormat="1" applyFont="1" applyFill="1" applyBorder="1" applyAlignment="1">
      <alignment horizontal="center" vertical="center"/>
    </xf>
    <xf numFmtId="3" fontId="12" fillId="48" borderId="37" xfId="0" applyNumberFormat="1" applyFont="1" applyFill="1" applyBorder="1" applyAlignment="1">
      <alignment horizontal="center" vertical="center"/>
    </xf>
    <xf numFmtId="3" fontId="12" fillId="48" borderId="13" xfId="0" applyNumberFormat="1" applyFont="1" applyFill="1" applyBorder="1" applyAlignment="1">
      <alignment horizontal="center" vertical="center"/>
    </xf>
    <xf numFmtId="3" fontId="13" fillId="48" borderId="13" xfId="0" applyNumberFormat="1" applyFont="1" applyFill="1" applyBorder="1" applyAlignment="1">
      <alignment horizontal="center" vertical="center"/>
    </xf>
    <xf numFmtId="3" fontId="12" fillId="48" borderId="30" xfId="0" applyNumberFormat="1" applyFont="1" applyFill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0" fontId="13" fillId="48" borderId="13" xfId="154" applyFont="1" applyFill="1" applyBorder="1" applyAlignment="1">
      <alignment horizontal="center" vertical="top" wrapText="1"/>
      <protection/>
    </xf>
    <xf numFmtId="3" fontId="13" fillId="48" borderId="38" xfId="0" applyNumberFormat="1" applyFont="1" applyFill="1" applyBorder="1" applyAlignment="1">
      <alignment horizontal="center" vertical="center"/>
    </xf>
    <xf numFmtId="3" fontId="12" fillId="48" borderId="21" xfId="0" applyNumberFormat="1" applyFont="1" applyFill="1" applyBorder="1" applyAlignment="1">
      <alignment horizontal="center" vertical="center"/>
    </xf>
    <xf numFmtId="3" fontId="13" fillId="48" borderId="21" xfId="0" applyNumberFormat="1" applyFont="1" applyFill="1" applyBorder="1" applyAlignment="1">
      <alignment horizontal="center" vertical="center"/>
    </xf>
    <xf numFmtId="3" fontId="13" fillId="0" borderId="39" xfId="0" applyNumberFormat="1" applyFont="1" applyBorder="1" applyAlignment="1">
      <alignment vertical="center"/>
    </xf>
    <xf numFmtId="0" fontId="12" fillId="0" borderId="13" xfId="177" applyFont="1" applyBorder="1" applyAlignment="1">
      <alignment horizontal="center" vertical="center"/>
      <protection/>
    </xf>
    <xf numFmtId="49" fontId="13" fillId="0" borderId="13" xfId="177" applyNumberFormat="1" applyFont="1" applyBorder="1" applyAlignment="1">
      <alignment horizontal="center" vertical="center"/>
      <protection/>
    </xf>
    <xf numFmtId="49" fontId="13" fillId="0" borderId="13" xfId="147" applyNumberFormat="1" applyFont="1" applyBorder="1" applyAlignment="1">
      <alignment horizontal="center" vertical="center" wrapText="1"/>
      <protection/>
    </xf>
    <xf numFmtId="49" fontId="13" fillId="0" borderId="13" xfId="0" applyNumberFormat="1" applyFont="1" applyBorder="1" applyAlignment="1">
      <alignment horizontal="center" vertical="center" wrapText="1"/>
    </xf>
    <xf numFmtId="0" fontId="12" fillId="8" borderId="13" xfId="177" applyFont="1" applyFill="1" applyBorder="1" applyAlignment="1">
      <alignment horizontal="center" vertical="center"/>
      <protection/>
    </xf>
    <xf numFmtId="0" fontId="8" fillId="0" borderId="14" xfId="147" applyFont="1" applyBorder="1" applyAlignment="1">
      <alignment vertical="center" wrapText="1"/>
      <protection/>
    </xf>
    <xf numFmtId="0" fontId="8" fillId="0" borderId="13" xfId="177" applyFont="1" applyBorder="1" applyAlignment="1">
      <alignment horizontal="left" vertical="center"/>
      <protection/>
    </xf>
    <xf numFmtId="3" fontId="8" fillId="0" borderId="13" xfId="0" applyNumberFormat="1" applyFont="1" applyBorder="1" applyAlignment="1">
      <alignment horizontal="right" vertical="center"/>
    </xf>
    <xf numFmtId="3" fontId="12" fillId="9" borderId="40" xfId="156" applyNumberFormat="1" applyFont="1" applyFill="1" applyBorder="1" applyAlignment="1">
      <alignment horizontal="center" vertical="center" wrapText="1"/>
      <protection/>
    </xf>
    <xf numFmtId="0" fontId="6" fillId="0" borderId="35" xfId="156" applyFont="1" applyBorder="1" applyAlignment="1">
      <alignment vertical="center"/>
      <protection/>
    </xf>
    <xf numFmtId="3" fontId="6" fillId="0" borderId="35" xfId="156" applyNumberFormat="1" applyFont="1" applyBorder="1" applyAlignment="1">
      <alignment vertical="center"/>
      <protection/>
    </xf>
    <xf numFmtId="3" fontId="66" fillId="0" borderId="0" xfId="171" applyNumberFormat="1" applyFont="1" applyAlignment="1">
      <alignment horizontal="center" vertical="center" wrapText="1"/>
      <protection/>
    </xf>
    <xf numFmtId="3" fontId="15" fillId="9" borderId="41" xfId="171" applyNumberFormat="1" applyFont="1" applyFill="1" applyBorder="1" applyAlignment="1">
      <alignment horizontal="center" wrapText="1"/>
      <protection/>
    </xf>
    <xf numFmtId="0" fontId="67" fillId="9" borderId="42" xfId="171" applyFont="1" applyFill="1" applyBorder="1" applyAlignment="1">
      <alignment horizontal="center" wrapText="1"/>
      <protection/>
    </xf>
    <xf numFmtId="3" fontId="12" fillId="9" borderId="43" xfId="171" applyNumberFormat="1" applyFont="1" applyFill="1" applyBorder="1" applyAlignment="1">
      <alignment horizontal="center" vertical="center" wrapText="1"/>
      <protection/>
    </xf>
    <xf numFmtId="3" fontId="12" fillId="9" borderId="44" xfId="171" applyNumberFormat="1" applyFont="1" applyFill="1" applyBorder="1" applyAlignment="1">
      <alignment horizontal="center" vertical="center" wrapText="1"/>
      <protection/>
    </xf>
    <xf numFmtId="3" fontId="12" fillId="9" borderId="34" xfId="171" applyNumberFormat="1" applyFont="1" applyFill="1" applyBorder="1" applyAlignment="1">
      <alignment horizontal="center" vertical="center" wrapText="1"/>
      <protection/>
    </xf>
    <xf numFmtId="3" fontId="4" fillId="0" borderId="13" xfId="171" applyNumberFormat="1" applyFont="1" applyBorder="1" applyAlignment="1">
      <alignment horizontal="center" vertical="center" wrapText="1"/>
      <protection/>
    </xf>
    <xf numFmtId="3" fontId="8" fillId="0" borderId="45" xfId="171" applyNumberFormat="1" applyFont="1" applyBorder="1" applyAlignment="1">
      <alignment vertical="center" wrapText="1"/>
      <protection/>
    </xf>
    <xf numFmtId="3" fontId="13" fillId="0" borderId="35" xfId="171" applyNumberFormat="1" applyFont="1" applyBorder="1" applyAlignment="1">
      <alignment horizontal="center" vertical="center" wrapText="1"/>
      <protection/>
    </xf>
    <xf numFmtId="1" fontId="8" fillId="0" borderId="35" xfId="171" applyNumberFormat="1" applyFont="1" applyBorder="1" applyAlignment="1">
      <alignment horizontal="center" vertical="center" wrapText="1"/>
      <protection/>
    </xf>
    <xf numFmtId="3" fontId="8" fillId="0" borderId="35" xfId="171" applyNumberFormat="1" applyFont="1" applyBorder="1" applyAlignment="1">
      <alignment horizontal="right" vertical="center" wrapText="1"/>
      <protection/>
    </xf>
    <xf numFmtId="3" fontId="4" fillId="0" borderId="0" xfId="171" applyNumberFormat="1" applyFont="1" applyAlignment="1">
      <alignment vertical="center" wrapText="1"/>
      <protection/>
    </xf>
    <xf numFmtId="3" fontId="8" fillId="0" borderId="35" xfId="171" applyNumberFormat="1" applyFont="1" applyBorder="1" applyAlignment="1">
      <alignment horizontal="center" vertical="center" wrapText="1"/>
      <protection/>
    </xf>
    <xf numFmtId="3" fontId="4" fillId="8" borderId="13" xfId="171" applyNumberFormat="1" applyFont="1" applyFill="1" applyBorder="1" applyAlignment="1">
      <alignment vertical="center" wrapText="1"/>
      <protection/>
    </xf>
    <xf numFmtId="3" fontId="9" fillId="9" borderId="45" xfId="171" applyNumberFormat="1" applyFont="1" applyFill="1" applyBorder="1" applyAlignment="1">
      <alignment vertical="center" wrapText="1"/>
      <protection/>
    </xf>
    <xf numFmtId="3" fontId="9" fillId="9" borderId="35" xfId="171" applyNumberFormat="1" applyFont="1" applyFill="1" applyBorder="1" applyAlignment="1">
      <alignment vertical="center" wrapText="1"/>
      <protection/>
    </xf>
    <xf numFmtId="3" fontId="12" fillId="9" borderId="35" xfId="171" applyNumberFormat="1" applyFont="1" applyFill="1" applyBorder="1" applyAlignment="1">
      <alignment vertical="center" wrapText="1"/>
      <protection/>
    </xf>
    <xf numFmtId="3" fontId="8" fillId="0" borderId="0" xfId="171" applyNumberFormat="1" applyFont="1" applyAlignment="1">
      <alignment vertical="center" wrapText="1"/>
      <protection/>
    </xf>
    <xf numFmtId="10" fontId="0" fillId="0" borderId="0" xfId="0" applyNumberFormat="1" applyAlignment="1">
      <alignment/>
    </xf>
    <xf numFmtId="3" fontId="13" fillId="48" borderId="37" xfId="0" applyNumberFormat="1" applyFont="1" applyFill="1" applyBorder="1" applyAlignment="1">
      <alignment horizontal="center" vertical="center"/>
    </xf>
    <xf numFmtId="0" fontId="12" fillId="48" borderId="13" xfId="154" applyFont="1" applyFill="1" applyBorder="1" applyAlignment="1">
      <alignment horizontal="center" vertical="top" wrapText="1"/>
      <protection/>
    </xf>
    <xf numFmtId="3" fontId="13" fillId="0" borderId="46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right" vertical="center"/>
    </xf>
    <xf numFmtId="0" fontId="9" fillId="8" borderId="47" xfId="179" applyFont="1" applyFill="1" applyBorder="1" applyAlignment="1">
      <alignment horizontal="center" vertical="center" wrapText="1"/>
      <protection/>
    </xf>
    <xf numFmtId="0" fontId="9" fillId="8" borderId="48" xfId="179" applyFont="1" applyFill="1" applyBorder="1" applyAlignment="1">
      <alignment horizontal="center" vertical="center" wrapText="1"/>
      <protection/>
    </xf>
    <xf numFmtId="2" fontId="9" fillId="8" borderId="48" xfId="179" applyNumberFormat="1" applyFont="1" applyFill="1" applyBorder="1" applyAlignment="1">
      <alignment horizontal="center" vertical="center" wrapText="1"/>
      <protection/>
    </xf>
    <xf numFmtId="3" fontId="9" fillId="8" borderId="48" xfId="179" applyNumberFormat="1" applyFont="1" applyFill="1" applyBorder="1" applyAlignment="1">
      <alignment horizontal="center" vertical="center" wrapText="1"/>
      <protection/>
    </xf>
    <xf numFmtId="0" fontId="23" fillId="8" borderId="13" xfId="169" applyFont="1" applyFill="1" applyBorder="1" applyAlignment="1">
      <alignment horizontal="center" vertical="center"/>
      <protection/>
    </xf>
    <xf numFmtId="0" fontId="9" fillId="8" borderId="13" xfId="169" applyFont="1" applyFill="1" applyBorder="1" applyAlignment="1">
      <alignment vertical="center"/>
      <protection/>
    </xf>
    <xf numFmtId="164" fontId="9" fillId="8" borderId="13" xfId="179" applyNumberFormat="1" applyFont="1" applyFill="1" applyBorder="1">
      <alignment/>
      <protection/>
    </xf>
    <xf numFmtId="0" fontId="12" fillId="0" borderId="13" xfId="154" applyFont="1" applyBorder="1" applyAlignment="1">
      <alignment horizontal="center" vertical="center"/>
      <protection/>
    </xf>
    <xf numFmtId="0" fontId="13" fillId="48" borderId="13" xfId="154" applyFont="1" applyFill="1" applyBorder="1" applyAlignment="1">
      <alignment horizontal="center" vertical="top" wrapText="1"/>
      <protection/>
    </xf>
    <xf numFmtId="49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left" vertical="center"/>
    </xf>
    <xf numFmtId="3" fontId="8" fillId="0" borderId="49" xfId="0" applyNumberFormat="1" applyFont="1" applyBorder="1" applyAlignment="1">
      <alignment horizontal="left" vertical="center"/>
    </xf>
    <xf numFmtId="3" fontId="8" fillId="0" borderId="30" xfId="0" applyNumberFormat="1" applyFont="1" applyBorder="1" applyAlignment="1">
      <alignment horizontal="left" vertical="center"/>
    </xf>
    <xf numFmtId="49" fontId="8" fillId="0" borderId="30" xfId="0" applyNumberFormat="1" applyFont="1" applyBorder="1" applyAlignment="1">
      <alignment vertical="center" wrapText="1"/>
    </xf>
    <xf numFmtId="49" fontId="8" fillId="0" borderId="30" xfId="0" applyNumberFormat="1" applyFont="1" applyBorder="1" applyAlignment="1">
      <alignment horizontal="left" vertical="center"/>
    </xf>
    <xf numFmtId="3" fontId="9" fillId="8" borderId="14" xfId="0" applyNumberFormat="1" applyFont="1" applyFill="1" applyBorder="1" applyAlignment="1">
      <alignment horizontal="left" vertical="center"/>
    </xf>
    <xf numFmtId="49" fontId="8" fillId="0" borderId="49" xfId="190" applyNumberFormat="1" applyFont="1" applyBorder="1" applyAlignment="1">
      <alignment horizontal="left" vertical="center" wrapText="1"/>
      <protection/>
    </xf>
    <xf numFmtId="49" fontId="8" fillId="0" borderId="30" xfId="190" applyNumberFormat="1" applyFont="1" applyBorder="1" applyAlignment="1">
      <alignment horizontal="left" vertical="center" wrapText="1"/>
      <protection/>
    </xf>
    <xf numFmtId="3" fontId="8" fillId="0" borderId="30" xfId="0" applyNumberFormat="1" applyFont="1" applyBorder="1" applyAlignment="1">
      <alignment vertical="center"/>
    </xf>
    <xf numFmtId="3" fontId="9" fillId="8" borderId="28" xfId="0" applyNumberFormat="1" applyFont="1" applyFill="1" applyBorder="1" applyAlignment="1">
      <alignment vertical="center"/>
    </xf>
    <xf numFmtId="3" fontId="8" fillId="47" borderId="14" xfId="0" applyNumberFormat="1" applyFont="1" applyFill="1" applyBorder="1" applyAlignment="1">
      <alignment vertical="center"/>
    </xf>
    <xf numFmtId="3" fontId="9" fillId="47" borderId="14" xfId="0" applyNumberFormat="1" applyFont="1" applyFill="1" applyBorder="1" applyAlignment="1">
      <alignment vertical="center"/>
    </xf>
    <xf numFmtId="3" fontId="8" fillId="47" borderId="14" xfId="191" applyNumberFormat="1" applyFont="1" applyFill="1" applyBorder="1" applyAlignment="1">
      <alignment horizontal="left" vertical="top"/>
      <protection/>
    </xf>
    <xf numFmtId="3" fontId="8" fillId="0" borderId="30" xfId="0" applyNumberFormat="1" applyFont="1" applyBorder="1" applyAlignment="1">
      <alignment vertical="center" wrapText="1"/>
    </xf>
    <xf numFmtId="3" fontId="8" fillId="0" borderId="50" xfId="0" applyNumberFormat="1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/>
    </xf>
    <xf numFmtId="0" fontId="8" fillId="0" borderId="30" xfId="185" applyFont="1" applyBorder="1" applyAlignment="1">
      <alignment vertical="center"/>
      <protection/>
    </xf>
    <xf numFmtId="3" fontId="13" fillId="0" borderId="35" xfId="0" applyNumberFormat="1" applyFont="1" applyBorder="1" applyAlignment="1">
      <alignment horizontal="center" vertical="center"/>
    </xf>
    <xf numFmtId="0" fontId="63" fillId="0" borderId="14" xfId="167" applyFont="1" applyBorder="1" applyAlignment="1">
      <alignment wrapText="1"/>
      <protection/>
    </xf>
    <xf numFmtId="0" fontId="63" fillId="0" borderId="14" xfId="167" applyFont="1" applyBorder="1" applyAlignment="1">
      <alignment horizontal="justify" wrapText="1"/>
      <protection/>
    </xf>
    <xf numFmtId="0" fontId="63" fillId="0" borderId="14" xfId="167" applyFont="1" applyBorder="1" applyAlignment="1">
      <alignment horizontal="left" wrapText="1"/>
      <protection/>
    </xf>
    <xf numFmtId="3" fontId="13" fillId="0" borderId="13" xfId="0" applyNumberFormat="1" applyFont="1" applyBorder="1" applyAlignment="1">
      <alignment wrapText="1"/>
    </xf>
    <xf numFmtId="3" fontId="13" fillId="47" borderId="13" xfId="191" applyNumberFormat="1" applyFont="1" applyFill="1" applyBorder="1" applyAlignment="1">
      <alignment vertical="top" wrapText="1"/>
      <protection/>
    </xf>
    <xf numFmtId="0" fontId="14" fillId="0" borderId="13" xfId="0" applyFont="1" applyBorder="1" applyAlignment="1">
      <alignment vertical="center" wrapText="1"/>
    </xf>
    <xf numFmtId="3" fontId="13" fillId="0" borderId="51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horizontal="left" vertical="center"/>
    </xf>
    <xf numFmtId="3" fontId="12" fillId="9" borderId="52" xfId="156" applyNumberFormat="1" applyFont="1" applyFill="1" applyBorder="1" applyAlignment="1">
      <alignment horizontal="center" vertical="center" wrapText="1"/>
      <protection/>
    </xf>
    <xf numFmtId="3" fontId="12" fillId="9" borderId="53" xfId="156" applyNumberFormat="1" applyFont="1" applyFill="1" applyBorder="1" applyAlignment="1">
      <alignment horizontal="center" vertical="center" wrapText="1"/>
      <protection/>
    </xf>
    <xf numFmtId="3" fontId="12" fillId="9" borderId="54" xfId="156" applyNumberFormat="1" applyFont="1" applyFill="1" applyBorder="1" applyAlignment="1">
      <alignment horizontal="center" vertical="center" wrapText="1"/>
      <protection/>
    </xf>
    <xf numFmtId="4" fontId="8" fillId="22" borderId="35" xfId="156" applyNumberFormat="1" applyFont="1" applyFill="1" applyBorder="1" applyAlignment="1">
      <alignment vertical="center"/>
      <protection/>
    </xf>
    <xf numFmtId="3" fontId="8" fillId="22" borderId="35" xfId="156" applyNumberFormat="1" applyFont="1" applyFill="1" applyBorder="1" applyAlignment="1">
      <alignment vertical="center"/>
      <protection/>
    </xf>
    <xf numFmtId="3" fontId="42" fillId="22" borderId="35" xfId="156" applyNumberFormat="1" applyFont="1" applyFill="1" applyBorder="1" applyAlignment="1">
      <alignment vertical="center"/>
      <protection/>
    </xf>
    <xf numFmtId="3" fontId="8" fillId="49" borderId="35" xfId="156" applyNumberFormat="1" applyFont="1" applyFill="1" applyBorder="1" applyAlignment="1">
      <alignment vertical="center"/>
      <protection/>
    </xf>
    <xf numFmtId="165" fontId="8" fillId="50" borderId="35" xfId="156" applyNumberFormat="1" applyFont="1" applyFill="1" applyBorder="1" applyAlignment="1">
      <alignment vertical="center"/>
      <protection/>
    </xf>
    <xf numFmtId="3" fontId="8" fillId="50" borderId="35" xfId="156" applyNumberFormat="1" applyFont="1" applyFill="1" applyBorder="1" applyAlignment="1">
      <alignment vertical="center"/>
      <protection/>
    </xf>
    <xf numFmtId="0" fontId="6" fillId="32" borderId="0" xfId="156" applyFont="1" applyFill="1" applyAlignment="1">
      <alignment vertical="center"/>
      <protection/>
    </xf>
    <xf numFmtId="3" fontId="8" fillId="17" borderId="35" xfId="156" applyNumberFormat="1" applyFont="1" applyFill="1" applyBorder="1" applyAlignment="1">
      <alignment vertical="center"/>
      <protection/>
    </xf>
    <xf numFmtId="4" fontId="8" fillId="50" borderId="35" xfId="156" applyNumberFormat="1" applyFont="1" applyFill="1" applyBorder="1" applyAlignment="1">
      <alignment vertical="center"/>
      <protection/>
    </xf>
    <xf numFmtId="3" fontId="8" fillId="34" borderId="35" xfId="156" applyNumberFormat="1" applyFont="1" applyFill="1" applyBorder="1" applyAlignment="1">
      <alignment vertical="center"/>
      <protection/>
    </xf>
    <xf numFmtId="3" fontId="8" fillId="32" borderId="35" xfId="156" applyNumberFormat="1" applyFont="1" applyFill="1" applyBorder="1" applyAlignment="1">
      <alignment vertical="center"/>
      <protection/>
    </xf>
    <xf numFmtId="3" fontId="5" fillId="0" borderId="0" xfId="146" applyNumberFormat="1">
      <alignment/>
      <protection/>
    </xf>
    <xf numFmtId="3" fontId="13" fillId="48" borderId="55" xfId="0" applyNumberFormat="1" applyFont="1" applyFill="1" applyBorder="1" applyAlignment="1">
      <alignment horizontal="center" vertical="center"/>
    </xf>
    <xf numFmtId="3" fontId="12" fillId="48" borderId="55" xfId="0" applyNumberFormat="1" applyFont="1" applyFill="1" applyBorder="1" applyAlignment="1">
      <alignment horizontal="center" vertical="center"/>
    </xf>
    <xf numFmtId="0" fontId="8" fillId="0" borderId="14" xfId="186" applyFont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 wrapText="1"/>
    </xf>
    <xf numFmtId="0" fontId="8" fillId="47" borderId="14" xfId="0" applyFont="1" applyFill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left" wrapText="1"/>
    </xf>
    <xf numFmtId="3" fontId="8" fillId="0" borderId="35" xfId="171" applyNumberFormat="1" applyFont="1" applyFill="1" applyBorder="1" applyAlignment="1">
      <alignment vertical="center" wrapText="1"/>
      <protection/>
    </xf>
    <xf numFmtId="3" fontId="23" fillId="0" borderId="30" xfId="0" applyNumberFormat="1" applyFont="1" applyBorder="1" applyAlignment="1">
      <alignment vertical="center"/>
    </xf>
    <xf numFmtId="0" fontId="8" fillId="0" borderId="39" xfId="185" applyFont="1" applyBorder="1" applyAlignment="1">
      <alignment vertical="center" wrapText="1"/>
      <protection/>
    </xf>
    <xf numFmtId="0" fontId="13" fillId="48" borderId="13" xfId="154" applyFont="1" applyFill="1" applyBorder="1" applyAlignment="1">
      <alignment horizontal="center" vertical="center" wrapText="1"/>
      <protection/>
    </xf>
    <xf numFmtId="3" fontId="78" fillId="0" borderId="0" xfId="0" applyNumberFormat="1" applyFont="1" applyAlignment="1">
      <alignment vertical="center"/>
    </xf>
    <xf numFmtId="0" fontId="18" fillId="0" borderId="0" xfId="174">
      <alignment/>
      <protection/>
    </xf>
    <xf numFmtId="0" fontId="71" fillId="0" borderId="0" xfId="174" applyFont="1">
      <alignment/>
      <protection/>
    </xf>
    <xf numFmtId="0" fontId="72" fillId="0" borderId="0" xfId="174" applyFont="1">
      <alignment/>
      <protection/>
    </xf>
    <xf numFmtId="0" fontId="73" fillId="0" borderId="0" xfId="174" applyFont="1">
      <alignment/>
      <protection/>
    </xf>
    <xf numFmtId="0" fontId="23" fillId="8" borderId="13" xfId="173" applyFont="1" applyFill="1" applyBorder="1">
      <alignment/>
      <protection/>
    </xf>
    <xf numFmtId="164" fontId="9" fillId="8" borderId="13" xfId="173" applyNumberFormat="1" applyFont="1" applyFill="1" applyBorder="1">
      <alignment/>
      <protection/>
    </xf>
    <xf numFmtId="0" fontId="23" fillId="0" borderId="36" xfId="146" applyFont="1" applyBorder="1" applyAlignment="1">
      <alignment vertical="center"/>
      <protection/>
    </xf>
    <xf numFmtId="3" fontId="13" fillId="0" borderId="56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2" fillId="9" borderId="57" xfId="156" applyNumberFormat="1" applyFont="1" applyFill="1" applyBorder="1" applyAlignment="1">
      <alignment horizontal="center" vertical="center" wrapText="1"/>
      <protection/>
    </xf>
    <xf numFmtId="0" fontId="3" fillId="8" borderId="13" xfId="176" applyFont="1" applyFill="1" applyBorder="1" applyAlignment="1">
      <alignment horizontal="center" vertical="center"/>
      <protection/>
    </xf>
    <xf numFmtId="0" fontId="3" fillId="8" borderId="13" xfId="176" applyFont="1" applyFill="1" applyBorder="1" applyAlignment="1">
      <alignment horizontal="center" vertical="center" wrapText="1"/>
      <protection/>
    </xf>
    <xf numFmtId="0" fontId="0" fillId="0" borderId="0" xfId="176">
      <alignment/>
      <protection/>
    </xf>
    <xf numFmtId="0" fontId="18" fillId="0" borderId="0" xfId="172">
      <alignment/>
      <protection/>
    </xf>
    <xf numFmtId="0" fontId="0" fillId="0" borderId="13" xfId="176" applyBorder="1" applyAlignment="1">
      <alignment vertical="center" wrapText="1"/>
      <protection/>
    </xf>
    <xf numFmtId="3" fontId="0" fillId="0" borderId="13" xfId="176" applyNumberFormat="1" applyFont="1" applyBorder="1" applyAlignment="1" quotePrefix="1">
      <alignment horizontal="center" vertical="center" wrapText="1"/>
      <protection/>
    </xf>
    <xf numFmtId="3" fontId="0" fillId="0" borderId="51" xfId="176" applyNumberFormat="1" applyBorder="1">
      <alignment/>
      <protection/>
    </xf>
    <xf numFmtId="164" fontId="0" fillId="0" borderId="0" xfId="176" applyNumberFormat="1" applyBorder="1">
      <alignment/>
      <protection/>
    </xf>
    <xf numFmtId="3" fontId="0" fillId="0" borderId="13" xfId="176" applyNumberFormat="1" applyFont="1" applyBorder="1" applyAlignment="1" quotePrefix="1">
      <alignment vertical="center"/>
      <protection/>
    </xf>
    <xf numFmtId="0" fontId="0" fillId="0" borderId="13" xfId="176" applyBorder="1" applyAlignment="1">
      <alignment wrapText="1"/>
      <protection/>
    </xf>
    <xf numFmtId="3" fontId="0" fillId="0" borderId="13" xfId="176" applyNumberFormat="1" applyFont="1" applyBorder="1" applyAlignment="1">
      <alignment/>
      <protection/>
    </xf>
    <xf numFmtId="3" fontId="0" fillId="0" borderId="51" xfId="176" applyNumberFormat="1" applyFont="1" applyBorder="1">
      <alignment/>
      <protection/>
    </xf>
    <xf numFmtId="3" fontId="0" fillId="0" borderId="13" xfId="176" applyNumberFormat="1" applyFont="1" applyBorder="1" applyAlignment="1" quotePrefix="1">
      <alignment horizontal="right" vertical="center" wrapText="1"/>
      <protection/>
    </xf>
    <xf numFmtId="0" fontId="3" fillId="8" borderId="13" xfId="176" applyFont="1" applyFill="1" applyBorder="1">
      <alignment/>
      <protection/>
    </xf>
    <xf numFmtId="3" fontId="3" fillId="8" borderId="13" xfId="176" applyNumberFormat="1" applyFont="1" applyFill="1" applyBorder="1">
      <alignment/>
      <protection/>
    </xf>
    <xf numFmtId="3" fontId="0" fillId="0" borderId="0" xfId="176" applyNumberFormat="1">
      <alignment/>
      <protection/>
    </xf>
    <xf numFmtId="0" fontId="8" fillId="0" borderId="0" xfId="172" applyFont="1">
      <alignment/>
      <protection/>
    </xf>
    <xf numFmtId="0" fontId="18" fillId="0" borderId="0" xfId="170">
      <alignment/>
      <protection/>
    </xf>
    <xf numFmtId="0" fontId="18" fillId="8" borderId="13" xfId="157" applyFill="1" applyBorder="1">
      <alignment/>
      <protection/>
    </xf>
    <xf numFmtId="0" fontId="74" fillId="8" borderId="13" xfId="157" applyFont="1" applyFill="1" applyBorder="1" applyAlignment="1">
      <alignment horizontal="center" vertical="center" wrapText="1"/>
      <protection/>
    </xf>
    <xf numFmtId="0" fontId="74" fillId="8" borderId="13" xfId="157" applyFont="1" applyFill="1" applyBorder="1" applyAlignment="1">
      <alignment horizontal="center" vertical="center"/>
      <protection/>
    </xf>
    <xf numFmtId="0" fontId="74" fillId="0" borderId="13" xfId="157" applyFont="1" applyBorder="1">
      <alignment/>
      <protection/>
    </xf>
    <xf numFmtId="3" fontId="74" fillId="0" borderId="13" xfId="157" applyNumberFormat="1" applyFont="1" applyBorder="1">
      <alignment/>
      <protection/>
    </xf>
    <xf numFmtId="3" fontId="74" fillId="0" borderId="0" xfId="157" applyNumberFormat="1" applyFont="1">
      <alignment/>
      <protection/>
    </xf>
    <xf numFmtId="0" fontId="18" fillId="0" borderId="13" xfId="157" applyFont="1" applyBorder="1">
      <alignment/>
      <protection/>
    </xf>
    <xf numFmtId="3" fontId="18" fillId="0" borderId="13" xfId="157" applyNumberFormat="1" applyFont="1" applyBorder="1">
      <alignment/>
      <protection/>
    </xf>
    <xf numFmtId="0" fontId="74" fillId="0" borderId="13" xfId="157" applyFont="1" applyBorder="1" applyAlignment="1">
      <alignment vertical="center"/>
      <protection/>
    </xf>
    <xf numFmtId="0" fontId="18" fillId="0" borderId="13" xfId="157" applyFont="1" applyBorder="1" applyAlignment="1">
      <alignment vertical="center"/>
      <protection/>
    </xf>
    <xf numFmtId="14" fontId="18" fillId="0" borderId="13" xfId="157" applyNumberFormat="1" applyFont="1" applyBorder="1" applyAlignment="1">
      <alignment horizontal="left" wrapText="1"/>
      <protection/>
    </xf>
    <xf numFmtId="0" fontId="18" fillId="0" borderId="13" xfId="157" applyFont="1" applyBorder="1" applyAlignment="1">
      <alignment vertical="center" wrapText="1"/>
      <protection/>
    </xf>
    <xf numFmtId="3" fontId="18" fillId="0" borderId="13" xfId="157" applyNumberFormat="1" applyFont="1" applyBorder="1" applyAlignment="1">
      <alignment vertical="center"/>
      <protection/>
    </xf>
    <xf numFmtId="0" fontId="18" fillId="0" borderId="13" xfId="157" applyBorder="1">
      <alignment/>
      <protection/>
    </xf>
    <xf numFmtId="0" fontId="18" fillId="0" borderId="13" xfId="157" applyFont="1" applyFill="1" applyBorder="1" applyAlignment="1">
      <alignment vertical="center" wrapText="1"/>
      <protection/>
    </xf>
    <xf numFmtId="3" fontId="18" fillId="0" borderId="13" xfId="157" applyNumberFormat="1" applyFont="1" applyFill="1" applyBorder="1">
      <alignment/>
      <protection/>
    </xf>
    <xf numFmtId="0" fontId="18" fillId="0" borderId="13" xfId="157" applyFont="1" applyBorder="1" applyAlignment="1">
      <alignment wrapText="1"/>
      <protection/>
    </xf>
    <xf numFmtId="0" fontId="73" fillId="0" borderId="0" xfId="170" applyFont="1">
      <alignment/>
      <protection/>
    </xf>
    <xf numFmtId="0" fontId="74" fillId="8" borderId="13" xfId="157" applyFont="1" applyFill="1" applyBorder="1" applyAlignment="1">
      <alignment vertical="center"/>
      <protection/>
    </xf>
    <xf numFmtId="3" fontId="74" fillId="8" borderId="13" xfId="157" applyNumberFormat="1" applyFont="1" applyFill="1" applyBorder="1" applyAlignment="1">
      <alignment vertical="center"/>
      <protection/>
    </xf>
    <xf numFmtId="0" fontId="18" fillId="0" borderId="0" xfId="157" applyFont="1">
      <alignment/>
      <protection/>
    </xf>
    <xf numFmtId="0" fontId="18" fillId="0" borderId="0" xfId="157">
      <alignment/>
      <protection/>
    </xf>
    <xf numFmtId="0" fontId="12" fillId="8" borderId="15" xfId="145" applyFont="1" applyFill="1" applyBorder="1" applyAlignment="1">
      <alignment horizontal="center" vertical="center" wrapText="1"/>
      <protection/>
    </xf>
    <xf numFmtId="0" fontId="13" fillId="0" borderId="13" xfId="145" applyFont="1" applyBorder="1" applyAlignment="1">
      <alignment vertical="center"/>
      <protection/>
    </xf>
    <xf numFmtId="3" fontId="13" fillId="0" borderId="15" xfId="145" applyNumberFormat="1" applyFont="1" applyBorder="1" applyAlignment="1">
      <alignment vertical="center"/>
      <protection/>
    </xf>
    <xf numFmtId="0" fontId="14" fillId="0" borderId="13" xfId="145" applyFont="1" applyBorder="1" applyAlignment="1">
      <alignment vertical="center"/>
      <protection/>
    </xf>
    <xf numFmtId="3" fontId="12" fillId="0" borderId="13" xfId="145" applyNumberFormat="1" applyFont="1" applyBorder="1" applyAlignment="1">
      <alignment vertical="center"/>
      <protection/>
    </xf>
    <xf numFmtId="3" fontId="13" fillId="0" borderId="15" xfId="145" applyNumberFormat="1" applyFont="1" applyFill="1" applyBorder="1" applyAlignment="1">
      <alignment vertical="center"/>
      <protection/>
    </xf>
    <xf numFmtId="3" fontId="13" fillId="0" borderId="13" xfId="145" applyNumberFormat="1" applyFont="1" applyFill="1" applyBorder="1" applyAlignment="1">
      <alignment vertical="center"/>
      <protection/>
    </xf>
    <xf numFmtId="0" fontId="13" fillId="0" borderId="13" xfId="145" applyFont="1" applyFill="1" applyBorder="1" applyAlignment="1">
      <alignment vertical="center"/>
      <protection/>
    </xf>
    <xf numFmtId="0" fontId="13" fillId="0" borderId="13" xfId="169" applyFont="1" applyBorder="1" applyAlignment="1">
      <alignment vertical="center" wrapText="1"/>
      <protection/>
    </xf>
    <xf numFmtId="3" fontId="13" fillId="8" borderId="15" xfId="145" applyNumberFormat="1" applyFont="1" applyFill="1" applyBorder="1" applyAlignment="1">
      <alignment vertical="center"/>
      <protection/>
    </xf>
    <xf numFmtId="3" fontId="13" fillId="8" borderId="13" xfId="145" applyNumberFormat="1" applyFont="1" applyFill="1" applyBorder="1" applyAlignment="1">
      <alignment vertical="center"/>
      <protection/>
    </xf>
    <xf numFmtId="0" fontId="5" fillId="0" borderId="0" xfId="145" applyBorder="1" applyAlignment="1">
      <alignment vertical="center"/>
      <protection/>
    </xf>
    <xf numFmtId="3" fontId="8" fillId="0" borderId="13" xfId="145" applyNumberFormat="1" applyFont="1" applyBorder="1" applyAlignment="1">
      <alignment vertical="center"/>
      <protection/>
    </xf>
    <xf numFmtId="3" fontId="65" fillId="8" borderId="13" xfId="145" applyNumberFormat="1" applyFont="1" applyFill="1" applyBorder="1" applyAlignment="1">
      <alignment vertical="center"/>
      <protection/>
    </xf>
    <xf numFmtId="0" fontId="0" fillId="0" borderId="0" xfId="176" applyFont="1">
      <alignment/>
      <protection/>
    </xf>
    <xf numFmtId="3" fontId="12" fillId="8" borderId="58" xfId="191" applyNumberFormat="1" applyFont="1" applyFill="1" applyBorder="1" applyAlignment="1">
      <alignment horizontal="center" vertical="center" wrapText="1"/>
      <protection/>
    </xf>
    <xf numFmtId="3" fontId="13" fillId="0" borderId="29" xfId="0" applyNumberFormat="1" applyFont="1" applyBorder="1" applyAlignment="1">
      <alignment vertical="center"/>
    </xf>
    <xf numFmtId="3" fontId="13" fillId="8" borderId="59" xfId="0" applyNumberFormat="1" applyFont="1" applyFill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2" fillId="8" borderId="29" xfId="0" applyNumberFormat="1" applyFont="1" applyFill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3" fontId="13" fillId="8" borderId="15" xfId="191" applyNumberFormat="1" applyFont="1" applyFill="1" applyBorder="1" applyAlignment="1">
      <alignment horizontal="right" vertical="center"/>
      <protection/>
    </xf>
    <xf numFmtId="3" fontId="12" fillId="47" borderId="29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/>
    </xf>
    <xf numFmtId="3" fontId="12" fillId="8" borderId="29" xfId="0" applyNumberFormat="1" applyFont="1" applyFill="1" applyBorder="1" applyAlignment="1">
      <alignment horizontal="left" vertical="center"/>
    </xf>
    <xf numFmtId="3" fontId="13" fillId="0" borderId="60" xfId="0" applyNumberFormat="1" applyFont="1" applyBorder="1" applyAlignment="1">
      <alignment vertical="center"/>
    </xf>
    <xf numFmtId="3" fontId="13" fillId="47" borderId="14" xfId="191" applyNumberFormat="1" applyFont="1" applyFill="1" applyBorder="1" applyAlignment="1">
      <alignment horizontal="right" vertical="top" wrapText="1"/>
      <protection/>
    </xf>
    <xf numFmtId="0" fontId="8" fillId="8" borderId="61" xfId="0" applyFont="1" applyFill="1" applyBorder="1" applyAlignment="1">
      <alignment vertical="center"/>
    </xf>
    <xf numFmtId="3" fontId="12" fillId="8" borderId="59" xfId="0" applyNumberFormat="1" applyFont="1" applyFill="1" applyBorder="1" applyAlignment="1">
      <alignment vertical="center"/>
    </xf>
    <xf numFmtId="0" fontId="8" fillId="8" borderId="13" xfId="0" applyFont="1" applyFill="1" applyBorder="1" applyAlignment="1">
      <alignment horizontal="center" vertical="center"/>
    </xf>
    <xf numFmtId="3" fontId="13" fillId="0" borderId="28" xfId="0" applyNumberFormat="1" applyFont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0" fontId="23" fillId="0" borderId="29" xfId="0" applyFont="1" applyBorder="1" applyAlignment="1">
      <alignment vertical="center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horizontal="right" wrapText="1"/>
    </xf>
    <xf numFmtId="3" fontId="13" fillId="8" borderId="29" xfId="0" applyNumberFormat="1" applyFont="1" applyFill="1" applyBorder="1" applyAlignment="1">
      <alignment vertical="center"/>
    </xf>
    <xf numFmtId="0" fontId="13" fillId="0" borderId="3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3" fillId="0" borderId="30" xfId="0" applyFont="1" applyBorder="1" applyAlignment="1">
      <alignment vertical="center"/>
    </xf>
    <xf numFmtId="3" fontId="9" fillId="8" borderId="15" xfId="0" applyNumberFormat="1" applyFont="1" applyFill="1" applyBorder="1" applyAlignment="1">
      <alignment vertical="center"/>
    </xf>
    <xf numFmtId="3" fontId="13" fillId="0" borderId="15" xfId="0" applyNumberFormat="1" applyFont="1" applyBorder="1" applyAlignment="1">
      <alignment horizontal="right" vertical="center"/>
    </xf>
    <xf numFmtId="3" fontId="13" fillId="8" borderId="13" xfId="0" applyNumberFormat="1" applyFont="1" applyFill="1" applyBorder="1" applyAlignment="1">
      <alignment vertical="center"/>
    </xf>
    <xf numFmtId="0" fontId="79" fillId="0" borderId="0" xfId="166" applyFont="1" applyBorder="1" applyAlignment="1">
      <alignment horizontal="center"/>
      <protection/>
    </xf>
    <xf numFmtId="0" fontId="79" fillId="0" borderId="0" xfId="166" applyFont="1">
      <alignment/>
      <protection/>
    </xf>
    <xf numFmtId="1" fontId="65" fillId="8" borderId="13" xfId="166" applyNumberFormat="1" applyFont="1" applyFill="1" applyBorder="1" applyAlignment="1">
      <alignment horizontal="center" vertical="center" wrapText="1"/>
      <protection/>
    </xf>
    <xf numFmtId="1" fontId="65" fillId="8" borderId="14" xfId="166" applyNumberFormat="1" applyFont="1" applyFill="1" applyBorder="1" applyAlignment="1">
      <alignment horizontal="center" vertical="center" wrapText="1"/>
      <protection/>
    </xf>
    <xf numFmtId="0" fontId="6" fillId="0" borderId="0" xfId="166" applyFont="1" applyBorder="1" applyAlignment="1">
      <alignment horizontal="center" vertical="center"/>
      <protection/>
    </xf>
    <xf numFmtId="0" fontId="6" fillId="0" borderId="0" xfId="166" applyFont="1" applyAlignment="1">
      <alignment horizontal="center" vertical="center"/>
      <protection/>
    </xf>
    <xf numFmtId="0" fontId="65" fillId="8" borderId="21" xfId="166" applyFont="1" applyFill="1" applyBorder="1" applyAlignment="1">
      <alignment horizontal="center" vertical="center" wrapText="1"/>
      <protection/>
    </xf>
    <xf numFmtId="0" fontId="65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3" fontId="13" fillId="0" borderId="15" xfId="166" applyNumberFormat="1" applyFont="1" applyBorder="1" applyAlignment="1">
      <alignment horizontal="right" vertical="center"/>
      <protection/>
    </xf>
    <xf numFmtId="1" fontId="65" fillId="0" borderId="13" xfId="166" applyNumberFormat="1" applyFont="1" applyFill="1" applyBorder="1" applyAlignment="1">
      <alignment horizontal="center" vertical="center" wrapText="1"/>
      <protection/>
    </xf>
    <xf numFmtId="1" fontId="65" fillId="0" borderId="14" xfId="166" applyNumberFormat="1" applyFont="1" applyFill="1" applyBorder="1" applyAlignment="1">
      <alignment horizontal="center" vertical="center" wrapText="1"/>
      <protection/>
    </xf>
    <xf numFmtId="0" fontId="13" fillId="0" borderId="21" xfId="166" applyFont="1" applyFill="1" applyBorder="1" applyAlignment="1">
      <alignment horizontal="center" vertical="center" wrapText="1"/>
      <protection/>
    </xf>
    <xf numFmtId="3" fontId="13" fillId="0" borderId="49" xfId="163" applyNumberFormat="1" applyFont="1" applyBorder="1" applyAlignment="1">
      <alignment horizontal="left" vertical="center" wrapText="1"/>
      <protection/>
    </xf>
    <xf numFmtId="3" fontId="13" fillId="0" borderId="13" xfId="163" applyNumberFormat="1" applyFont="1" applyBorder="1" applyAlignment="1">
      <alignment horizontal="right" vertical="center" wrapText="1"/>
      <protection/>
    </xf>
    <xf numFmtId="3" fontId="13" fillId="0" borderId="15" xfId="163" applyNumberFormat="1" applyFont="1" applyBorder="1" applyAlignment="1">
      <alignment horizontal="right" vertical="center" wrapText="1"/>
      <protection/>
    </xf>
    <xf numFmtId="3" fontId="13" fillId="0" borderId="15" xfId="98" applyNumberFormat="1" applyFont="1" applyBorder="1" applyAlignment="1">
      <alignment horizontal="right" vertical="center"/>
    </xf>
    <xf numFmtId="3" fontId="13" fillId="0" borderId="21" xfId="166" applyNumberFormat="1" applyFont="1" applyFill="1" applyBorder="1" applyAlignment="1">
      <alignment horizontal="right" vertical="center" wrapText="1"/>
      <protection/>
    </xf>
    <xf numFmtId="3" fontId="13" fillId="0" borderId="28" xfId="166" applyNumberFormat="1" applyFont="1" applyFill="1" applyBorder="1" applyAlignment="1">
      <alignment horizontal="right" vertical="center" wrapText="1"/>
      <protection/>
    </xf>
    <xf numFmtId="3" fontId="13" fillId="0" borderId="13" xfId="166" applyNumberFormat="1" applyFont="1" applyFill="1" applyBorder="1" applyAlignment="1">
      <alignment horizontal="right" vertical="center" wrapText="1"/>
      <protection/>
    </xf>
    <xf numFmtId="0" fontId="79" fillId="0" borderId="0" xfId="166" applyFont="1" applyAlignment="1">
      <alignment horizontal="center"/>
      <protection/>
    </xf>
    <xf numFmtId="0" fontId="13" fillId="0" borderId="13" xfId="166" applyFont="1" applyFill="1" applyBorder="1" applyAlignment="1">
      <alignment horizontal="center" vertical="center" wrapText="1"/>
      <protection/>
    </xf>
    <xf numFmtId="3" fontId="13" fillId="0" borderId="30" xfId="163" applyNumberFormat="1" applyFont="1" applyBorder="1" applyAlignment="1">
      <alignment horizontal="left" vertical="center" wrapText="1"/>
      <protection/>
    </xf>
    <xf numFmtId="3" fontId="13" fillId="0" borderId="14" xfId="166" applyNumberFormat="1" applyFont="1" applyFill="1" applyBorder="1" applyAlignment="1">
      <alignment horizontal="right" vertical="center" wrapText="1"/>
      <protection/>
    </xf>
    <xf numFmtId="3" fontId="13" fillId="0" borderId="30" xfId="189" applyNumberFormat="1" applyFont="1" applyFill="1" applyBorder="1" applyAlignment="1">
      <alignment vertical="center" wrapText="1"/>
      <protection/>
    </xf>
    <xf numFmtId="3" fontId="13" fillId="0" borderId="13" xfId="189" applyNumberFormat="1" applyFont="1" applyFill="1" applyBorder="1" applyAlignment="1">
      <alignment horizontal="right" vertical="center" wrapText="1"/>
      <protection/>
    </xf>
    <xf numFmtId="0" fontId="79" fillId="0" borderId="0" xfId="166" applyFont="1" applyAlignment="1">
      <alignment horizontal="center" vertical="center"/>
      <protection/>
    </xf>
    <xf numFmtId="3" fontId="13" fillId="48" borderId="30" xfId="155" applyNumberFormat="1" applyFont="1" applyFill="1" applyBorder="1" applyAlignment="1">
      <alignment vertical="top" wrapText="1"/>
      <protection/>
    </xf>
    <xf numFmtId="3" fontId="13" fillId="48" borderId="13" xfId="155" applyNumberFormat="1" applyFont="1" applyFill="1" applyBorder="1" applyAlignment="1">
      <alignment horizontal="right" vertical="center" wrapText="1"/>
      <protection/>
    </xf>
    <xf numFmtId="3" fontId="13" fillId="0" borderId="30" xfId="149" applyNumberFormat="1" applyFont="1" applyFill="1" applyBorder="1" applyAlignment="1">
      <alignment vertical="top" wrapText="1"/>
      <protection/>
    </xf>
    <xf numFmtId="3" fontId="13" fillId="0" borderId="13" xfId="149" applyNumberFormat="1" applyFont="1" applyFill="1" applyBorder="1" applyAlignment="1">
      <alignment horizontal="right" vertical="center" wrapText="1"/>
      <protection/>
    </xf>
    <xf numFmtId="3" fontId="13" fillId="0" borderId="30" xfId="149" applyNumberFormat="1" applyFont="1" applyFill="1" applyBorder="1" applyAlignment="1">
      <alignment vertical="center" wrapText="1"/>
      <protection/>
    </xf>
    <xf numFmtId="0" fontId="80" fillId="0" borderId="0" xfId="166" applyFont="1" applyAlignment="1">
      <alignment horizontal="center"/>
      <protection/>
    </xf>
    <xf numFmtId="0" fontId="80" fillId="0" borderId="0" xfId="166" applyFont="1">
      <alignment/>
      <protection/>
    </xf>
    <xf numFmtId="3" fontId="13" fillId="0" borderId="0" xfId="149" applyNumberFormat="1" applyFont="1" applyFill="1" applyBorder="1" applyAlignment="1">
      <alignment vertical="center" wrapText="1"/>
      <protection/>
    </xf>
    <xf numFmtId="0" fontId="13" fillId="0" borderId="13" xfId="147" applyFont="1" applyFill="1" applyBorder="1" applyAlignment="1">
      <alignment vertical="center" wrapText="1"/>
      <protection/>
    </xf>
    <xf numFmtId="169" fontId="13" fillId="0" borderId="13" xfId="98" applyNumberFormat="1" applyFont="1" applyFill="1" applyBorder="1" applyAlignment="1">
      <alignment horizontal="right" vertical="center" wrapText="1"/>
    </xf>
    <xf numFmtId="0" fontId="13" fillId="0" borderId="13" xfId="147" applyFont="1" applyFill="1" applyBorder="1" applyAlignment="1">
      <alignment horizontal="right" vertical="center" wrapText="1"/>
      <protection/>
    </xf>
    <xf numFmtId="3" fontId="13" fillId="0" borderId="13" xfId="147" applyNumberFormat="1" applyFont="1" applyFill="1" applyBorder="1" applyAlignment="1">
      <alignment horizontal="right" vertical="center" wrapText="1"/>
      <protection/>
    </xf>
    <xf numFmtId="3" fontId="13" fillId="0" borderId="13" xfId="149" applyNumberFormat="1" applyFont="1" applyFill="1" applyBorder="1" applyAlignment="1">
      <alignment vertical="center" wrapText="1"/>
      <protection/>
    </xf>
    <xf numFmtId="0" fontId="13" fillId="0" borderId="30" xfId="147" applyFont="1" applyFill="1" applyBorder="1" applyAlignment="1">
      <alignment vertical="center" wrapText="1"/>
      <protection/>
    </xf>
    <xf numFmtId="0" fontId="80" fillId="0" borderId="0" xfId="166" applyFont="1" applyBorder="1" applyAlignment="1">
      <alignment horizontal="center"/>
      <protection/>
    </xf>
    <xf numFmtId="0" fontId="13" fillId="0" borderId="36" xfId="152" applyFont="1" applyFill="1" applyBorder="1" applyAlignment="1">
      <alignment vertical="top" wrapText="1"/>
      <protection/>
    </xf>
    <xf numFmtId="169" fontId="13" fillId="0" borderId="14" xfId="98" applyNumberFormat="1" applyFont="1" applyFill="1" applyBorder="1" applyAlignment="1">
      <alignment horizontal="right" vertical="center" wrapText="1"/>
    </xf>
    <xf numFmtId="0" fontId="13" fillId="0" borderId="14" xfId="152" applyFont="1" applyFill="1" applyBorder="1" applyAlignment="1">
      <alignment horizontal="right" vertical="center" wrapText="1"/>
      <protection/>
    </xf>
    <xf numFmtId="3" fontId="13" fillId="0" borderId="13" xfId="152" applyNumberFormat="1" applyFont="1" applyFill="1" applyBorder="1" applyAlignment="1">
      <alignment horizontal="right" vertical="center" wrapText="1"/>
      <protection/>
    </xf>
    <xf numFmtId="169" fontId="13" fillId="0" borderId="15" xfId="98" applyNumberFormat="1" applyFont="1" applyFill="1" applyBorder="1" applyAlignment="1">
      <alignment horizontal="right" vertical="center" wrapText="1"/>
    </xf>
    <xf numFmtId="3" fontId="13" fillId="0" borderId="24" xfId="163" applyNumberFormat="1" applyFont="1" applyBorder="1" applyAlignment="1">
      <alignment horizontal="right" vertical="center" wrapText="1"/>
      <protection/>
    </xf>
    <xf numFmtId="3" fontId="13" fillId="0" borderId="62" xfId="163" applyNumberFormat="1" applyFont="1" applyBorder="1" applyAlignment="1">
      <alignment horizontal="right" vertical="center" wrapText="1"/>
      <protection/>
    </xf>
    <xf numFmtId="0" fontId="13" fillId="0" borderId="49" xfId="147" applyFont="1" applyFill="1" applyBorder="1" applyAlignment="1">
      <alignment vertical="center" wrapText="1"/>
      <protection/>
    </xf>
    <xf numFmtId="3" fontId="13" fillId="0" borderId="14" xfId="163" applyNumberFormat="1" applyFont="1" applyBorder="1" applyAlignment="1">
      <alignment horizontal="right" vertical="center" wrapText="1"/>
      <protection/>
    </xf>
    <xf numFmtId="0" fontId="13" fillId="0" borderId="14" xfId="147" applyFont="1" applyFill="1" applyBorder="1" applyAlignment="1">
      <alignment vertical="center" wrapText="1"/>
      <protection/>
    </xf>
    <xf numFmtId="0" fontId="13" fillId="0" borderId="14" xfId="147" applyFont="1" applyFill="1" applyBorder="1" applyAlignment="1">
      <alignment horizontal="right" vertical="center" wrapText="1"/>
      <protection/>
    </xf>
    <xf numFmtId="3" fontId="13" fillId="0" borderId="21" xfId="163" applyNumberFormat="1" applyFont="1" applyBorder="1" applyAlignment="1">
      <alignment horizontal="right" vertical="center" wrapText="1"/>
      <protection/>
    </xf>
    <xf numFmtId="3" fontId="13" fillId="0" borderId="63" xfId="163" applyNumberFormat="1" applyFont="1" applyBorder="1" applyAlignment="1">
      <alignment horizontal="right" vertical="center" wrapText="1"/>
      <protection/>
    </xf>
    <xf numFmtId="3" fontId="13" fillId="0" borderId="14" xfId="0" applyNumberFormat="1" applyFont="1" applyBorder="1" applyAlignment="1">
      <alignment horizontal="left"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169" fontId="13" fillId="0" borderId="14" xfId="98" applyNumberFormat="1" applyFont="1" applyBorder="1" applyAlignment="1">
      <alignment horizontal="right" vertical="center" wrapText="1"/>
    </xf>
    <xf numFmtId="3" fontId="13" fillId="0" borderId="13" xfId="0" applyNumberFormat="1" applyFont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24" fillId="0" borderId="13" xfId="166" applyFont="1" applyFill="1" applyBorder="1" applyAlignment="1">
      <alignment horizontal="center" vertical="center" wrapText="1"/>
      <protection/>
    </xf>
    <xf numFmtId="0" fontId="12" fillId="8" borderId="13" xfId="166" applyFont="1" applyFill="1" applyBorder="1" applyAlignment="1">
      <alignment horizontal="left" vertical="center" wrapText="1"/>
      <protection/>
    </xf>
    <xf numFmtId="3" fontId="12" fillId="8" borderId="13" xfId="166" applyNumberFormat="1" applyFont="1" applyFill="1" applyBorder="1" applyAlignment="1">
      <alignment horizontal="right" vertical="center" wrapText="1"/>
      <protection/>
    </xf>
    <xf numFmtId="3" fontId="13" fillId="8" borderId="13" xfId="163" applyNumberFormat="1" applyFont="1" applyFill="1" applyBorder="1" applyAlignment="1">
      <alignment horizontal="right" vertical="center" wrapText="1"/>
      <protection/>
    </xf>
    <xf numFmtId="3" fontId="12" fillId="8" borderId="14" xfId="166" applyNumberFormat="1" applyFont="1" applyFill="1" applyBorder="1" applyAlignment="1">
      <alignment horizontal="right" vertical="center" wrapText="1"/>
      <protection/>
    </xf>
    <xf numFmtId="0" fontId="12" fillId="0" borderId="13" xfId="166" applyFont="1" applyFill="1" applyBorder="1" applyAlignment="1">
      <alignment horizontal="left" vertical="center" wrapText="1"/>
      <protection/>
    </xf>
    <xf numFmtId="0" fontId="12" fillId="0" borderId="13" xfId="166" applyFont="1" applyFill="1" applyBorder="1" applyAlignment="1">
      <alignment horizontal="right" vertical="center" wrapText="1"/>
      <protection/>
    </xf>
    <xf numFmtId="3" fontId="13" fillId="0" borderId="13" xfId="163" applyNumberFormat="1" applyFont="1" applyFill="1" applyBorder="1" applyAlignment="1">
      <alignment horizontal="right" vertical="center" wrapText="1"/>
      <protection/>
    </xf>
    <xf numFmtId="3" fontId="13" fillId="0" borderId="15" xfId="163" applyNumberFormat="1" applyFont="1" applyFill="1" applyBorder="1" applyAlignment="1">
      <alignment horizontal="right" vertical="center" wrapText="1"/>
      <protection/>
    </xf>
    <xf numFmtId="0" fontId="12" fillId="0" borderId="15" xfId="166" applyFont="1" applyFill="1" applyBorder="1" applyAlignment="1">
      <alignment horizontal="right" vertical="center" wrapText="1"/>
      <protection/>
    </xf>
    <xf numFmtId="3" fontId="12" fillId="0" borderId="13" xfId="166" applyNumberFormat="1" applyFont="1" applyFill="1" applyBorder="1" applyAlignment="1">
      <alignment horizontal="right" vertical="center" wrapText="1"/>
      <protection/>
    </xf>
    <xf numFmtId="3" fontId="12" fillId="0" borderId="14" xfId="166" applyNumberFormat="1" applyFont="1" applyFill="1" applyBorder="1" applyAlignment="1">
      <alignment horizontal="right" vertical="center" wrapText="1"/>
      <protection/>
    </xf>
    <xf numFmtId="0" fontId="12" fillId="0" borderId="13" xfId="166" applyFont="1" applyFill="1" applyBorder="1" applyAlignment="1">
      <alignment vertical="center"/>
      <protection/>
    </xf>
    <xf numFmtId="0" fontId="12" fillId="0" borderId="13" xfId="166" applyFont="1" applyFill="1" applyBorder="1" applyAlignment="1">
      <alignment horizontal="right" vertical="center"/>
      <protection/>
    </xf>
    <xf numFmtId="0" fontId="12" fillId="0" borderId="15" xfId="166" applyFont="1" applyFill="1" applyBorder="1" applyAlignment="1">
      <alignment horizontal="right" vertical="center"/>
      <protection/>
    </xf>
    <xf numFmtId="0" fontId="81" fillId="0" borderId="13" xfId="166" applyFont="1" applyBorder="1" applyAlignment="1">
      <alignment horizontal="right"/>
      <protection/>
    </xf>
    <xf numFmtId="0" fontId="79" fillId="0" borderId="13" xfId="166" applyFont="1" applyBorder="1" applyAlignment="1">
      <alignment horizontal="right"/>
      <protection/>
    </xf>
    <xf numFmtId="0" fontId="79" fillId="0" borderId="14" xfId="166" applyFont="1" applyBorder="1" applyAlignment="1">
      <alignment horizontal="right"/>
      <protection/>
    </xf>
    <xf numFmtId="0" fontId="13" fillId="0" borderId="13" xfId="0" applyFont="1" applyBorder="1" applyAlignment="1">
      <alignment horizontal="justify"/>
    </xf>
    <xf numFmtId="3" fontId="13" fillId="0" borderId="13" xfId="163" applyNumberFormat="1" applyFont="1" applyBorder="1" applyAlignment="1">
      <alignment vertical="center" wrapText="1"/>
      <protection/>
    </xf>
    <xf numFmtId="3" fontId="13" fillId="0" borderId="15" xfId="163" applyNumberFormat="1" applyFont="1" applyBorder="1" applyAlignment="1">
      <alignment vertical="center" wrapText="1"/>
      <protection/>
    </xf>
    <xf numFmtId="3" fontId="81" fillId="0" borderId="13" xfId="166" applyNumberFormat="1" applyFont="1" applyBorder="1" applyAlignment="1">
      <alignment horizontal="right"/>
      <protection/>
    </xf>
    <xf numFmtId="3" fontId="13" fillId="0" borderId="13" xfId="166" applyNumberFormat="1" applyFont="1" applyBorder="1" applyAlignment="1">
      <alignment horizontal="right" vertical="center"/>
      <protection/>
    </xf>
    <xf numFmtId="3" fontId="13" fillId="0" borderId="14" xfId="166" applyNumberFormat="1" applyFont="1" applyBorder="1" applyAlignment="1">
      <alignment horizontal="right" vertical="center"/>
      <protection/>
    </xf>
    <xf numFmtId="0" fontId="12" fillId="0" borderId="13" xfId="0" applyFont="1" applyBorder="1" applyAlignment="1">
      <alignment horizontal="justify" vertical="center"/>
    </xf>
    <xf numFmtId="0" fontId="13" fillId="0" borderId="13" xfId="0" applyFont="1" applyBorder="1" applyAlignment="1">
      <alignment horizontal="left" wrapText="1"/>
    </xf>
    <xf numFmtId="0" fontId="79" fillId="8" borderId="13" xfId="166" applyFont="1" applyFill="1" applyBorder="1">
      <alignment/>
      <protection/>
    </xf>
    <xf numFmtId="3" fontId="12" fillId="8" borderId="13" xfId="166" applyNumberFormat="1" applyFont="1" applyFill="1" applyBorder="1" applyAlignment="1">
      <alignment vertical="center" wrapText="1"/>
      <protection/>
    </xf>
    <xf numFmtId="3" fontId="13" fillId="8" borderId="13" xfId="163" applyNumberFormat="1" applyFont="1" applyFill="1" applyBorder="1" applyAlignment="1">
      <alignment vertical="center" wrapText="1"/>
      <protection/>
    </xf>
    <xf numFmtId="3" fontId="13" fillId="8" borderId="15" xfId="163" applyNumberFormat="1" applyFont="1" applyFill="1" applyBorder="1" applyAlignment="1">
      <alignment vertical="center" wrapText="1"/>
      <protection/>
    </xf>
    <xf numFmtId="3" fontId="12" fillId="8" borderId="15" xfId="166" applyNumberFormat="1" applyFont="1" applyFill="1" applyBorder="1" applyAlignment="1">
      <alignment vertical="center" wrapText="1"/>
      <protection/>
    </xf>
    <xf numFmtId="3" fontId="12" fillId="8" borderId="13" xfId="166" applyNumberFormat="1" applyFont="1" applyFill="1" applyBorder="1" applyAlignment="1">
      <alignment horizontal="right"/>
      <protection/>
    </xf>
    <xf numFmtId="3" fontId="12" fillId="8" borderId="14" xfId="166" applyNumberFormat="1" applyFont="1" applyFill="1" applyBorder="1" applyAlignment="1">
      <alignment horizontal="right"/>
      <protection/>
    </xf>
    <xf numFmtId="0" fontId="79" fillId="0" borderId="0" xfId="166" applyFont="1" applyAlignment="1">
      <alignment horizontal="right"/>
      <protection/>
    </xf>
    <xf numFmtId="0" fontId="81" fillId="0" borderId="0" xfId="166" applyFont="1" applyAlignment="1">
      <alignment horizontal="right"/>
      <protection/>
    </xf>
    <xf numFmtId="0" fontId="81" fillId="0" borderId="0" xfId="166" applyFont="1">
      <alignment/>
      <protection/>
    </xf>
    <xf numFmtId="0" fontId="12" fillId="8" borderId="29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3" fontId="15" fillId="8" borderId="64" xfId="191" applyNumberFormat="1" applyFont="1" applyFill="1" applyBorder="1" applyAlignment="1">
      <alignment horizontal="center" vertical="center" wrapText="1"/>
      <protection/>
    </xf>
    <xf numFmtId="0" fontId="6" fillId="0" borderId="30" xfId="156" applyFont="1" applyBorder="1" applyAlignment="1">
      <alignment horizontal="center" vertical="center"/>
      <protection/>
    </xf>
    <xf numFmtId="0" fontId="6" fillId="0" borderId="46" xfId="156" applyFont="1" applyBorder="1" applyAlignment="1">
      <alignment horizontal="center" vertical="center"/>
      <protection/>
    </xf>
    <xf numFmtId="0" fontId="6" fillId="0" borderId="45" xfId="156" applyFont="1" applyBorder="1" applyAlignment="1">
      <alignment horizontal="center" vertical="center"/>
      <protection/>
    </xf>
    <xf numFmtId="3" fontId="12" fillId="9" borderId="19" xfId="156" applyNumberFormat="1" applyFont="1" applyFill="1" applyBorder="1" applyAlignment="1">
      <alignment horizontal="center" vertical="center"/>
      <protection/>
    </xf>
    <xf numFmtId="3" fontId="12" fillId="9" borderId="65" xfId="156" applyNumberFormat="1" applyFont="1" applyFill="1" applyBorder="1" applyAlignment="1">
      <alignment horizontal="center" vertical="center"/>
      <protection/>
    </xf>
    <xf numFmtId="3" fontId="12" fillId="9" borderId="66" xfId="156" applyNumberFormat="1" applyFont="1" applyFill="1" applyBorder="1" applyAlignment="1">
      <alignment horizontal="center" vertical="center"/>
      <protection/>
    </xf>
    <xf numFmtId="0" fontId="6" fillId="49" borderId="24" xfId="156" applyFont="1" applyFill="1" applyBorder="1" applyAlignment="1">
      <alignment horizontal="center" vertical="center"/>
      <protection/>
    </xf>
    <xf numFmtId="0" fontId="6" fillId="49" borderId="22" xfId="156" applyFont="1" applyFill="1" applyBorder="1" applyAlignment="1">
      <alignment horizontal="center" vertical="center"/>
      <protection/>
    </xf>
    <xf numFmtId="0" fontId="3" fillId="8" borderId="67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12" fillId="8" borderId="13" xfId="144" applyFont="1" applyFill="1" applyBorder="1" applyAlignment="1">
      <alignment horizontal="center" vertical="center"/>
      <protection/>
    </xf>
    <xf numFmtId="0" fontId="12" fillId="8" borderId="14" xfId="144" applyFont="1" applyFill="1" applyBorder="1" applyAlignment="1">
      <alignment horizontal="center" vertical="center"/>
      <protection/>
    </xf>
    <xf numFmtId="0" fontId="59" fillId="8" borderId="13" xfId="0" applyFont="1" applyFill="1" applyBorder="1" applyAlignment="1">
      <alignment horizontal="center" vertical="center" wrapText="1"/>
    </xf>
    <xf numFmtId="0" fontId="59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3" xfId="144" applyFont="1" applyFill="1" applyBorder="1" applyAlignment="1">
      <alignment horizontal="center" vertical="center"/>
      <protection/>
    </xf>
    <xf numFmtId="0" fontId="9" fillId="8" borderId="13" xfId="146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91" applyNumberFormat="1" applyFont="1" applyFill="1" applyBorder="1" applyAlignment="1">
      <alignment horizontal="center" vertical="center" wrapText="1"/>
      <protection/>
    </xf>
    <xf numFmtId="3" fontId="15" fillId="8" borderId="67" xfId="191" applyNumberFormat="1" applyFont="1" applyFill="1" applyBorder="1" applyAlignment="1">
      <alignment horizontal="center" vertical="center" wrapText="1"/>
      <protection/>
    </xf>
    <xf numFmtId="3" fontId="15" fillId="8" borderId="26" xfId="191" applyNumberFormat="1" applyFont="1" applyFill="1" applyBorder="1" applyAlignment="1">
      <alignment horizontal="center" vertical="center" wrapText="1"/>
      <protection/>
    </xf>
    <xf numFmtId="3" fontId="15" fillId="8" borderId="67" xfId="191" applyNumberFormat="1" applyFont="1" applyFill="1" applyBorder="1" applyAlignment="1">
      <alignment horizontal="center" vertical="center"/>
      <protection/>
    </xf>
    <xf numFmtId="3" fontId="15" fillId="8" borderId="26" xfId="191" applyNumberFormat="1" applyFont="1" applyFill="1" applyBorder="1" applyAlignment="1">
      <alignment horizontal="center" vertical="center"/>
      <protection/>
    </xf>
    <xf numFmtId="3" fontId="15" fillId="8" borderId="67" xfId="191" applyNumberFormat="1" applyFont="1" applyFill="1" applyBorder="1" applyAlignment="1">
      <alignment horizontal="center" vertical="center" textRotation="90" wrapText="1"/>
      <protection/>
    </xf>
    <xf numFmtId="3" fontId="15" fillId="8" borderId="26" xfId="191" applyNumberFormat="1" applyFont="1" applyFill="1" applyBorder="1" applyAlignment="1">
      <alignment horizontal="center" vertical="center" textRotation="90" wrapText="1"/>
      <protection/>
    </xf>
    <xf numFmtId="0" fontId="12" fillId="8" borderId="24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12" fillId="8" borderId="13" xfId="145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3" fontId="66" fillId="8" borderId="13" xfId="171" applyNumberFormat="1" applyFont="1" applyFill="1" applyBorder="1" applyAlignment="1">
      <alignment horizontal="center" vertical="center" wrapText="1"/>
      <protection/>
    </xf>
    <xf numFmtId="3" fontId="12" fillId="9" borderId="68" xfId="171" applyNumberFormat="1" applyFont="1" applyFill="1" applyBorder="1" applyAlignment="1">
      <alignment horizontal="center" vertical="center" wrapText="1"/>
      <protection/>
    </xf>
    <xf numFmtId="3" fontId="12" fillId="9" borderId="69" xfId="171" applyNumberFormat="1" applyFont="1" applyFill="1" applyBorder="1" applyAlignment="1">
      <alignment horizontal="center" vertical="center" wrapText="1"/>
      <protection/>
    </xf>
    <xf numFmtId="3" fontId="12" fillId="9" borderId="70" xfId="171" applyNumberFormat="1" applyFont="1" applyFill="1" applyBorder="1" applyAlignment="1">
      <alignment horizontal="center" wrapText="1"/>
      <protection/>
    </xf>
    <xf numFmtId="3" fontId="12" fillId="9" borderId="71" xfId="171" applyNumberFormat="1" applyFont="1" applyFill="1" applyBorder="1" applyAlignment="1">
      <alignment horizontal="center" vertical="center" wrapText="1"/>
      <protection/>
    </xf>
    <xf numFmtId="3" fontId="12" fillId="9" borderId="41" xfId="171" applyNumberFormat="1" applyFont="1" applyFill="1" applyBorder="1" applyAlignment="1">
      <alignment horizontal="center" wrapText="1"/>
      <protection/>
    </xf>
    <xf numFmtId="3" fontId="12" fillId="9" borderId="72" xfId="171" applyNumberFormat="1" applyFont="1" applyFill="1" applyBorder="1" applyAlignment="1">
      <alignment horizontal="center" vertical="center" wrapText="1"/>
      <protection/>
    </xf>
    <xf numFmtId="0" fontId="65" fillId="8" borderId="24" xfId="166" applyFont="1" applyFill="1" applyBorder="1" applyAlignment="1">
      <alignment horizontal="center" vertical="center" wrapText="1"/>
      <protection/>
    </xf>
    <xf numFmtId="0" fontId="65" fillId="8" borderId="22" xfId="166" applyFont="1" applyFill="1" applyBorder="1" applyAlignment="1">
      <alignment horizontal="center" vertical="center" wrapText="1"/>
      <protection/>
    </xf>
    <xf numFmtId="0" fontId="65" fillId="8" borderId="21" xfId="166" applyFont="1" applyFill="1" applyBorder="1" applyAlignment="1">
      <alignment horizontal="center" vertical="center" wrapText="1"/>
      <protection/>
    </xf>
    <xf numFmtId="0" fontId="65" fillId="8" borderId="14" xfId="166" applyFont="1" applyFill="1" applyBorder="1" applyAlignment="1">
      <alignment horizontal="center" vertical="center"/>
      <protection/>
    </xf>
    <xf numFmtId="0" fontId="65" fillId="8" borderId="29" xfId="166" applyFont="1" applyFill="1" applyBorder="1" applyAlignment="1">
      <alignment horizontal="center" vertical="center"/>
      <protection/>
    </xf>
    <xf numFmtId="0" fontId="65" fillId="8" borderId="13" xfId="166" applyFont="1" applyFill="1" applyBorder="1" applyAlignment="1">
      <alignment horizontal="center" vertical="center" wrapText="1"/>
      <protection/>
    </xf>
    <xf numFmtId="0" fontId="65" fillId="8" borderId="62" xfId="166" applyFont="1" applyFill="1" applyBorder="1" applyAlignment="1">
      <alignment horizontal="center" vertical="center" wrapText="1"/>
      <protection/>
    </xf>
    <xf numFmtId="0" fontId="65" fillId="8" borderId="63" xfId="166" applyFont="1" applyFill="1" applyBorder="1" applyAlignment="1">
      <alignment horizontal="center" vertical="center" wrapText="1"/>
      <protection/>
    </xf>
    <xf numFmtId="0" fontId="65" fillId="8" borderId="14" xfId="166" applyFont="1" applyFill="1" applyBorder="1" applyAlignment="1">
      <alignment horizontal="center" vertical="center" wrapText="1"/>
      <protection/>
    </xf>
    <xf numFmtId="0" fontId="65" fillId="8" borderId="29" xfId="166" applyFont="1" applyFill="1" applyBorder="1" applyAlignment="1">
      <alignment horizontal="center" vertical="center" wrapText="1"/>
      <protection/>
    </xf>
    <xf numFmtId="0" fontId="65" fillId="8" borderId="15" xfId="166" applyFont="1" applyFill="1" applyBorder="1" applyAlignment="1">
      <alignment horizontal="center" vertical="center" wrapText="1"/>
      <protection/>
    </xf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0" borderId="21" xfId="0" applyNumberFormat="1" applyFont="1" applyBorder="1" applyAlignment="1">
      <alignment vertical="center" wrapText="1"/>
    </xf>
    <xf numFmtId="3" fontId="13" fillId="0" borderId="24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3" fontId="8" fillId="0" borderId="24" xfId="0" applyNumberFormat="1" applyFont="1" applyBorder="1" applyAlignment="1">
      <alignment horizontal="right" vertical="center" wrapText="1"/>
    </xf>
    <xf numFmtId="3" fontId="8" fillId="0" borderId="24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horizontal="left" vertical="center" wrapText="1"/>
    </xf>
    <xf numFmtId="3" fontId="12" fillId="9" borderId="0" xfId="156" applyNumberFormat="1" applyFont="1" applyFill="1" applyAlignment="1">
      <alignment horizontal="center" vertical="center"/>
      <protection/>
    </xf>
    <xf numFmtId="3" fontId="12" fillId="9" borderId="0" xfId="156" applyNumberFormat="1" applyFont="1" applyFill="1" applyAlignment="1">
      <alignment horizontal="center" vertical="center" wrapText="1"/>
      <protection/>
    </xf>
    <xf numFmtId="0" fontId="14" fillId="0" borderId="52" xfId="156" applyFont="1" applyBorder="1" applyAlignment="1">
      <alignment horizontal="left" vertical="top"/>
      <protection/>
    </xf>
    <xf numFmtId="3" fontId="12" fillId="0" borderId="30" xfId="156" applyNumberFormat="1" applyFont="1" applyBorder="1" applyAlignment="1">
      <alignment horizontal="center" vertical="center" wrapText="1"/>
      <protection/>
    </xf>
    <xf numFmtId="3" fontId="12" fillId="0" borderId="46" xfId="156" applyNumberFormat="1" applyFont="1" applyBorder="1" applyAlignment="1">
      <alignment horizontal="center" vertical="center" wrapText="1"/>
      <protection/>
    </xf>
    <xf numFmtId="3" fontId="12" fillId="0" borderId="45" xfId="156" applyNumberFormat="1" applyFont="1" applyBorder="1" applyAlignment="1">
      <alignment horizontal="center" vertical="center" wrapText="1"/>
      <protection/>
    </xf>
    <xf numFmtId="0" fontId="6" fillId="0" borderId="0" xfId="156" applyFont="1" applyAlignment="1">
      <alignment horizontal="center" vertical="center"/>
      <protection/>
    </xf>
    <xf numFmtId="0" fontId="14" fillId="0" borderId="35" xfId="156" applyFont="1" applyBorder="1" applyAlignment="1">
      <alignment vertical="center"/>
      <protection/>
    </xf>
    <xf numFmtId="3" fontId="8" fillId="0" borderId="35" xfId="156" applyNumberFormat="1" applyFont="1" applyBorder="1" applyAlignment="1">
      <alignment vertical="center"/>
      <protection/>
    </xf>
    <xf numFmtId="0" fontId="13" fillId="0" borderId="35" xfId="156" applyFont="1" applyBorder="1" applyAlignment="1">
      <alignment vertical="center"/>
      <protection/>
    </xf>
    <xf numFmtId="4" fontId="8" fillId="0" borderId="35" xfId="156" applyNumberFormat="1" applyFont="1" applyBorder="1" applyAlignment="1">
      <alignment vertical="center"/>
      <protection/>
    </xf>
    <xf numFmtId="3" fontId="8" fillId="0" borderId="0" xfId="156" applyNumberFormat="1" applyFont="1" applyAlignment="1">
      <alignment vertical="center"/>
      <protection/>
    </xf>
    <xf numFmtId="3" fontId="42" fillId="0" borderId="0" xfId="156" applyNumberFormat="1" applyFont="1" applyAlignment="1">
      <alignment vertical="center"/>
      <protection/>
    </xf>
    <xf numFmtId="165" fontId="8" fillId="0" borderId="35" xfId="156" applyNumberFormat="1" applyFont="1" applyBorder="1" applyAlignment="1">
      <alignment vertical="center"/>
      <protection/>
    </xf>
    <xf numFmtId="3" fontId="42" fillId="0" borderId="35" xfId="156" applyNumberFormat="1" applyFont="1" applyBorder="1" applyAlignment="1">
      <alignment vertical="center"/>
      <protection/>
    </xf>
    <xf numFmtId="0" fontId="13" fillId="0" borderId="35" xfId="156" applyFont="1" applyBorder="1" applyAlignment="1">
      <alignment vertical="center" wrapText="1"/>
      <protection/>
    </xf>
    <xf numFmtId="3" fontId="60" fillId="0" borderId="35" xfId="156" applyNumberFormat="1" applyFont="1" applyBorder="1" applyAlignment="1">
      <alignment vertical="center"/>
      <protection/>
    </xf>
    <xf numFmtId="3" fontId="8" fillId="0" borderId="35" xfId="156" applyNumberFormat="1" applyFont="1" applyBorder="1" applyAlignment="1">
      <alignment horizontal="right" vertical="center"/>
      <protection/>
    </xf>
    <xf numFmtId="0" fontId="13" fillId="0" borderId="55" xfId="156" applyFont="1" applyBorder="1" applyAlignment="1">
      <alignment vertical="center"/>
      <protection/>
    </xf>
    <xf numFmtId="0" fontId="8" fillId="0" borderId="55" xfId="156" applyFont="1" applyBorder="1" applyAlignment="1">
      <alignment vertical="center"/>
      <protection/>
    </xf>
    <xf numFmtId="3" fontId="60" fillId="0" borderId="35" xfId="156" applyNumberFormat="1" applyFont="1" applyBorder="1" applyAlignment="1">
      <alignment horizontal="right" vertical="center"/>
      <protection/>
    </xf>
    <xf numFmtId="0" fontId="13" fillId="0" borderId="0" xfId="0" applyFont="1" applyAlignment="1">
      <alignment wrapText="1"/>
    </xf>
    <xf numFmtId="0" fontId="14" fillId="0" borderId="35" xfId="156" applyFont="1" applyBorder="1" applyAlignment="1">
      <alignment vertical="center" wrapText="1"/>
      <protection/>
    </xf>
    <xf numFmtId="3" fontId="8" fillId="0" borderId="45" xfId="156" applyNumberFormat="1" applyFont="1" applyBorder="1" applyAlignment="1">
      <alignment vertical="center"/>
      <protection/>
    </xf>
    <xf numFmtId="3" fontId="13" fillId="0" borderId="35" xfId="156" applyNumberFormat="1" applyFont="1" applyBorder="1" applyAlignment="1">
      <alignment vertical="center"/>
      <protection/>
    </xf>
    <xf numFmtId="3" fontId="13" fillId="0" borderId="0" xfId="156" applyNumberFormat="1" applyFont="1" applyAlignment="1">
      <alignment vertical="center"/>
      <protection/>
    </xf>
    <xf numFmtId="3" fontId="9" fillId="0" borderId="22" xfId="191" applyNumberFormat="1" applyFont="1" applyBorder="1" applyAlignment="1">
      <alignment horizontal="center" vertical="center" wrapText="1"/>
      <protection/>
    </xf>
    <xf numFmtId="3" fontId="9" fillId="0" borderId="22" xfId="191" applyNumberFormat="1" applyFont="1" applyBorder="1" applyAlignment="1">
      <alignment horizontal="left" vertical="center" wrapText="1"/>
      <protection/>
    </xf>
    <xf numFmtId="3" fontId="8" fillId="0" borderId="13" xfId="191" applyNumberFormat="1" applyFont="1" applyBorder="1" applyAlignment="1">
      <alignment horizontal="center" vertical="center" wrapText="1"/>
      <protection/>
    </xf>
    <xf numFmtId="3" fontId="8" fillId="0" borderId="13" xfId="191" applyNumberFormat="1" applyFont="1" applyBorder="1" applyAlignment="1">
      <alignment vertical="center" wrapText="1"/>
      <protection/>
    </xf>
    <xf numFmtId="3" fontId="8" fillId="0" borderId="13" xfId="191" applyNumberFormat="1" applyFont="1" applyBorder="1" applyAlignment="1">
      <alignment horizontal="right" vertical="center" wrapText="1"/>
      <protection/>
    </xf>
    <xf numFmtId="3" fontId="8" fillId="0" borderId="13" xfId="191" applyNumberFormat="1" applyFont="1" applyBorder="1" applyAlignment="1">
      <alignment horizontal="right" vertical="center"/>
      <protection/>
    </xf>
    <xf numFmtId="3" fontId="0" fillId="0" borderId="13" xfId="191" applyNumberFormat="1" applyFont="1" applyBorder="1" applyAlignment="1">
      <alignment horizontal="right" vertical="center"/>
      <protection/>
    </xf>
    <xf numFmtId="3" fontId="9" fillId="0" borderId="13" xfId="191" applyNumberFormat="1" applyFont="1" applyBorder="1" applyAlignment="1">
      <alignment horizontal="right" vertical="center" wrapText="1"/>
      <protection/>
    </xf>
    <xf numFmtId="3" fontId="8" fillId="0" borderId="1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3" fontId="9" fillId="0" borderId="13" xfId="177" applyNumberFormat="1" applyFont="1" applyBorder="1" applyAlignment="1">
      <alignment vertical="center"/>
      <protection/>
    </xf>
    <xf numFmtId="0" fontId="8" fillId="0" borderId="14" xfId="183" applyFont="1" applyBorder="1" applyAlignment="1">
      <alignment vertical="center" wrapText="1"/>
      <protection/>
    </xf>
    <xf numFmtId="0" fontId="19" fillId="0" borderId="13" xfId="177" applyFont="1" applyBorder="1" applyAlignment="1">
      <alignment vertical="center" wrapText="1"/>
      <protection/>
    </xf>
    <xf numFmtId="3" fontId="8" fillId="0" borderId="14" xfId="147" applyNumberFormat="1" applyFont="1" applyBorder="1" applyAlignment="1">
      <alignment vertical="center" wrapText="1"/>
      <protection/>
    </xf>
    <xf numFmtId="0" fontId="8" fillId="0" borderId="14" xfId="181" applyFont="1" applyBorder="1" applyAlignment="1">
      <alignment vertical="center" wrapText="1"/>
      <protection/>
    </xf>
    <xf numFmtId="0" fontId="8" fillId="0" borderId="30" xfId="144" applyFont="1" applyBorder="1" applyAlignment="1">
      <alignment horizontal="left" vertical="center" wrapText="1"/>
      <protection/>
    </xf>
    <xf numFmtId="3" fontId="9" fillId="0" borderId="13" xfId="0" applyNumberFormat="1" applyFont="1" applyBorder="1" applyAlignment="1">
      <alignment horizontal="center" vertical="center"/>
    </xf>
    <xf numFmtId="49" fontId="13" fillId="0" borderId="13" xfId="177" applyNumberFormat="1" applyFont="1" applyBorder="1" applyAlignment="1">
      <alignment horizontal="center" vertical="center" wrapText="1"/>
      <protection/>
    </xf>
    <xf numFmtId="49" fontId="13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147" applyFont="1" applyBorder="1" applyAlignment="1">
      <alignment horizontal="center" vertical="center" wrapText="1"/>
      <protection/>
    </xf>
    <xf numFmtId="0" fontId="8" fillId="0" borderId="13" xfId="147" applyFont="1" applyBorder="1" applyAlignment="1">
      <alignment horizontal="center" vertical="top" wrapText="1"/>
      <protection/>
    </xf>
    <xf numFmtId="3" fontId="8" fillId="0" borderId="30" xfId="148" applyNumberFormat="1" applyFont="1" applyBorder="1" applyAlignment="1">
      <alignment vertical="top" wrapText="1"/>
      <protection/>
    </xf>
    <xf numFmtId="3" fontId="8" fillId="0" borderId="13" xfId="0" applyNumberFormat="1" applyFont="1" applyBorder="1" applyAlignment="1">
      <alignment vertical="center" wrapText="1"/>
    </xf>
    <xf numFmtId="3" fontId="8" fillId="0" borderId="13" xfId="149" applyNumberFormat="1" applyFont="1" applyBorder="1" applyAlignment="1">
      <alignment vertical="top" wrapText="1"/>
      <protection/>
    </xf>
    <xf numFmtId="0" fontId="8" fillId="0" borderId="13" xfId="147" applyFont="1" applyBorder="1" applyAlignment="1">
      <alignment horizontal="center" vertical="center" wrapText="1"/>
      <protection/>
    </xf>
    <xf numFmtId="0" fontId="8" fillId="0" borderId="35" xfId="147" applyFont="1" applyBorder="1" applyAlignment="1">
      <alignment vertical="center" wrapText="1"/>
      <protection/>
    </xf>
    <xf numFmtId="3" fontId="8" fillId="48" borderId="30" xfId="153" applyNumberFormat="1" applyFont="1" applyFill="1" applyBorder="1" applyAlignment="1">
      <alignment vertical="top" wrapText="1"/>
      <protection/>
    </xf>
    <xf numFmtId="3" fontId="8" fillId="0" borderId="30" xfId="148" applyNumberFormat="1" applyFont="1" applyBorder="1" applyAlignment="1">
      <alignment vertical="top" wrapText="1"/>
      <protection/>
    </xf>
    <xf numFmtId="0" fontId="8" fillId="0" borderId="30" xfId="147" applyFont="1" applyBorder="1" applyAlignment="1">
      <alignment vertical="center" wrapText="1"/>
      <protection/>
    </xf>
    <xf numFmtId="3" fontId="8" fillId="0" borderId="30" xfId="165" applyNumberFormat="1" applyFont="1" applyBorder="1" applyAlignment="1">
      <alignment horizontal="left" vertical="center" wrapText="1"/>
      <protection/>
    </xf>
    <xf numFmtId="0" fontId="8" fillId="0" borderId="14" xfId="154" applyFont="1" applyBorder="1" applyAlignment="1">
      <alignment vertical="top" wrapText="1"/>
      <protection/>
    </xf>
    <xf numFmtId="0" fontId="8" fillId="0" borderId="14" xfId="153" applyFont="1" applyBorder="1" applyAlignment="1">
      <alignment vertical="center" wrapText="1"/>
      <protection/>
    </xf>
    <xf numFmtId="0" fontId="8" fillId="0" borderId="13" xfId="147" applyFont="1" applyBorder="1" applyAlignment="1">
      <alignment vertical="center" wrapText="1"/>
      <protection/>
    </xf>
    <xf numFmtId="0" fontId="8" fillId="0" borderId="14" xfId="182" applyFont="1" applyBorder="1" applyAlignment="1">
      <alignment vertical="center" wrapText="1"/>
      <protection/>
    </xf>
    <xf numFmtId="3" fontId="13" fillId="0" borderId="13" xfId="182" applyNumberFormat="1" applyFont="1" applyBorder="1" applyAlignment="1">
      <alignment horizontal="center" vertical="center" wrapText="1"/>
      <protection/>
    </xf>
    <xf numFmtId="3" fontId="13" fillId="0" borderId="13" xfId="159" applyNumberFormat="1" applyFont="1" applyBorder="1" applyAlignment="1">
      <alignment vertical="center" wrapText="1"/>
      <protection/>
    </xf>
    <xf numFmtId="3" fontId="13" fillId="0" borderId="13" xfId="178" applyNumberFormat="1" applyFont="1" applyBorder="1" applyAlignment="1">
      <alignment horizontal="center" vertical="center" wrapText="1"/>
      <protection/>
    </xf>
    <xf numFmtId="3" fontId="13" fillId="0" borderId="54" xfId="0" applyNumberFormat="1" applyFont="1" applyBorder="1" applyAlignment="1">
      <alignment vertical="center"/>
    </xf>
    <xf numFmtId="3" fontId="13" fillId="0" borderId="13" xfId="191" applyNumberFormat="1" applyFont="1" applyBorder="1" applyAlignment="1">
      <alignment horizontal="center" vertical="center" wrapText="1"/>
      <protection/>
    </xf>
    <xf numFmtId="3" fontId="12" fillId="0" borderId="13" xfId="191" applyNumberFormat="1" applyFont="1" applyBorder="1" applyAlignment="1">
      <alignment horizontal="center" vertical="center" wrapText="1"/>
      <protection/>
    </xf>
    <xf numFmtId="0" fontId="13" fillId="0" borderId="13" xfId="177" applyFont="1" applyBorder="1" applyAlignment="1">
      <alignment vertical="center" wrapText="1"/>
      <protection/>
    </xf>
    <xf numFmtId="3" fontId="12" fillId="0" borderId="13" xfId="191" applyNumberFormat="1" applyFont="1" applyBorder="1" applyAlignment="1">
      <alignment horizontal="center" vertical="center"/>
      <protection/>
    </xf>
    <xf numFmtId="3" fontId="6" fillId="0" borderId="0" xfId="0" applyNumberFormat="1" applyFont="1" applyAlignment="1">
      <alignment/>
    </xf>
    <xf numFmtId="3" fontId="13" fillId="0" borderId="21" xfId="191" applyNumberFormat="1" applyFont="1" applyBorder="1" applyAlignment="1">
      <alignment horizontal="center" vertical="center" wrapText="1"/>
      <protection/>
    </xf>
    <xf numFmtId="3" fontId="13" fillId="0" borderId="73" xfId="191" applyNumberFormat="1" applyFont="1" applyBorder="1" applyAlignment="1">
      <alignment horizontal="center" vertical="center" wrapText="1"/>
      <protection/>
    </xf>
    <xf numFmtId="3" fontId="12" fillId="0" borderId="29" xfId="191" applyNumberFormat="1" applyFont="1" applyBorder="1" applyAlignment="1">
      <alignment vertical="center"/>
      <protection/>
    </xf>
    <xf numFmtId="3" fontId="12" fillId="0" borderId="15" xfId="191" applyNumberFormat="1" applyFont="1" applyBorder="1" applyAlignment="1">
      <alignment horizontal="center" vertical="center" wrapText="1"/>
      <protection/>
    </xf>
    <xf numFmtId="3" fontId="12" fillId="0" borderId="21" xfId="191" applyNumberFormat="1" applyFont="1" applyBorder="1" applyAlignment="1">
      <alignment horizontal="center" vertical="center" wrapText="1"/>
      <protection/>
    </xf>
    <xf numFmtId="3" fontId="12" fillId="0" borderId="14" xfId="191" applyNumberFormat="1" applyFont="1" applyBorder="1" applyAlignment="1">
      <alignment horizontal="left" vertical="center"/>
      <protection/>
    </xf>
    <xf numFmtId="3" fontId="13" fillId="0" borderId="15" xfId="191" applyNumberFormat="1" applyFont="1" applyBorder="1" applyAlignment="1">
      <alignment horizontal="right" vertical="center"/>
      <protection/>
    </xf>
    <xf numFmtId="3" fontId="13" fillId="0" borderId="14" xfId="191" applyNumberFormat="1" applyFont="1" applyBorder="1" applyAlignment="1">
      <alignment horizontal="center" vertical="center"/>
      <protection/>
    </xf>
    <xf numFmtId="3" fontId="13" fillId="0" borderId="14" xfId="191" applyNumberFormat="1" applyFont="1" applyBorder="1" applyAlignment="1">
      <alignment vertical="center"/>
      <protection/>
    </xf>
    <xf numFmtId="3" fontId="13" fillId="0" borderId="14" xfId="191" applyNumberFormat="1" applyFont="1" applyBorder="1" applyAlignment="1">
      <alignment vertical="center" wrapText="1"/>
      <protection/>
    </xf>
    <xf numFmtId="3" fontId="13" fillId="0" borderId="74" xfId="191" applyNumberFormat="1" applyFont="1" applyBorder="1" applyAlignment="1">
      <alignment vertical="center"/>
      <protection/>
    </xf>
    <xf numFmtId="3" fontId="13" fillId="0" borderId="75" xfId="191" applyNumberFormat="1" applyFont="1" applyBorder="1" applyAlignment="1">
      <alignment vertical="center" wrapText="1"/>
      <protection/>
    </xf>
    <xf numFmtId="0" fontId="77" fillId="0" borderId="35" xfId="164" applyFont="1" applyBorder="1" applyAlignment="1">
      <alignment horizontal="left" vertical="center" wrapText="1"/>
      <protection/>
    </xf>
    <xf numFmtId="3" fontId="13" fillId="0" borderId="30" xfId="191" applyNumberFormat="1" applyFont="1" applyBorder="1" applyAlignment="1">
      <alignment vertical="center"/>
      <protection/>
    </xf>
    <xf numFmtId="3" fontId="14" fillId="0" borderId="13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3" fontId="13" fillId="0" borderId="76" xfId="159" applyNumberFormat="1" applyFont="1" applyBorder="1" applyAlignment="1">
      <alignment vertical="center" wrapText="1"/>
      <protection/>
    </xf>
    <xf numFmtId="3" fontId="8" fillId="0" borderId="15" xfId="0" applyNumberFormat="1" applyFont="1" applyBorder="1" applyAlignment="1">
      <alignment vertical="center"/>
    </xf>
    <xf numFmtId="3" fontId="13" fillId="0" borderId="14" xfId="159" applyNumberFormat="1" applyFont="1" applyBorder="1" applyAlignment="1">
      <alignment vertical="center" wrapText="1"/>
      <protection/>
    </xf>
    <xf numFmtId="3" fontId="13" fillId="0" borderId="49" xfId="159" applyNumberFormat="1" applyFont="1" applyBorder="1" applyAlignment="1">
      <alignment vertical="center" wrapText="1"/>
      <protection/>
    </xf>
    <xf numFmtId="3" fontId="13" fillId="0" borderId="30" xfId="0" applyNumberFormat="1" applyFont="1" applyBorder="1" applyAlignment="1">
      <alignment horizontal="left" vertical="center" wrapText="1"/>
    </xf>
    <xf numFmtId="3" fontId="13" fillId="0" borderId="39" xfId="0" applyNumberFormat="1" applyFont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left" vertical="center" wrapText="1"/>
    </xf>
    <xf numFmtId="3" fontId="13" fillId="0" borderId="36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" fontId="13" fillId="0" borderId="30" xfId="0" applyNumberFormat="1" applyFont="1" applyBorder="1" applyAlignment="1">
      <alignment horizontal="left" vertical="center"/>
    </xf>
    <xf numFmtId="3" fontId="13" fillId="0" borderId="14" xfId="147" applyNumberFormat="1" applyFont="1" applyBorder="1" applyAlignment="1">
      <alignment vertical="center" wrapText="1"/>
      <protection/>
    </xf>
    <xf numFmtId="0" fontId="8" fillId="0" borderId="29" xfId="0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30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horizontal="center" vertical="center"/>
    </xf>
    <xf numFmtId="49" fontId="9" fillId="0" borderId="39" xfId="161" applyNumberFormat="1" applyFont="1" applyBorder="1" applyAlignment="1">
      <alignment horizontal="left" vertical="center" wrapText="1"/>
      <protection/>
    </xf>
    <xf numFmtId="3" fontId="12" fillId="0" borderId="61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center" vertical="center"/>
    </xf>
    <xf numFmtId="49" fontId="8" fillId="0" borderId="14" xfId="162" applyNumberFormat="1" applyFont="1" applyBorder="1" applyAlignment="1">
      <alignment horizontal="left" vertical="center" wrapText="1"/>
      <protection/>
    </xf>
    <xf numFmtId="0" fontId="8" fillId="0" borderId="35" xfId="158" applyBorder="1" applyAlignment="1">
      <alignment wrapText="1"/>
      <protection/>
    </xf>
    <xf numFmtId="3" fontId="9" fillId="0" borderId="14" xfId="162" applyNumberFormat="1" applyFont="1" applyBorder="1" applyAlignment="1">
      <alignment vertical="top" wrapText="1"/>
      <protection/>
    </xf>
    <xf numFmtId="3" fontId="13" fillId="0" borderId="49" xfId="0" applyNumberFormat="1" applyFont="1" applyBorder="1" applyAlignment="1">
      <alignment horizontal="center" vertical="center"/>
    </xf>
    <xf numFmtId="3" fontId="8" fillId="0" borderId="14" xfId="162" applyNumberFormat="1" applyFont="1" applyBorder="1" applyAlignment="1">
      <alignment vertical="top" wrapText="1"/>
      <protection/>
    </xf>
    <xf numFmtId="3" fontId="13" fillId="0" borderId="30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3" fontId="23" fillId="0" borderId="14" xfId="162" applyNumberFormat="1" applyFont="1" applyBorder="1" applyAlignment="1">
      <alignment vertical="top" wrapText="1"/>
      <protection/>
    </xf>
    <xf numFmtId="3" fontId="65" fillId="0" borderId="14" xfId="0" applyNumberFormat="1" applyFont="1" applyBorder="1" applyAlignment="1">
      <alignment horizontal="center" vertical="center"/>
    </xf>
    <xf numFmtId="3" fontId="65" fillId="0" borderId="30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3" fontId="12" fillId="0" borderId="30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8" fillId="0" borderId="30" xfId="187" applyFont="1" applyBorder="1" applyAlignment="1">
      <alignment vertical="center" wrapText="1"/>
      <protection/>
    </xf>
    <xf numFmtId="49" fontId="8" fillId="0" borderId="15" xfId="0" applyNumberFormat="1" applyFont="1" applyBorder="1" applyAlignment="1">
      <alignment vertical="center" wrapText="1"/>
    </xf>
    <xf numFmtId="3" fontId="12" fillId="8" borderId="15" xfId="191" applyNumberFormat="1" applyFont="1" applyFill="1" applyBorder="1" applyAlignment="1">
      <alignment horizontal="right" vertical="center"/>
      <protection/>
    </xf>
    <xf numFmtId="3" fontId="12" fillId="0" borderId="24" xfId="0" applyNumberFormat="1" applyFont="1" applyBorder="1" applyAlignment="1">
      <alignment horizontal="center" vertical="center"/>
    </xf>
    <xf numFmtId="0" fontId="9" fillId="0" borderId="39" xfId="184" applyFont="1" applyBorder="1" applyAlignment="1">
      <alignment vertical="center"/>
      <protection/>
    </xf>
    <xf numFmtId="3" fontId="8" fillId="0" borderId="28" xfId="0" applyNumberFormat="1" applyFont="1" applyBorder="1" applyAlignment="1">
      <alignment vertical="center"/>
    </xf>
    <xf numFmtId="0" fontId="8" fillId="0" borderId="30" xfId="0" applyFont="1" applyBorder="1" applyAlignment="1">
      <alignment vertical="top" wrapText="1"/>
    </xf>
    <xf numFmtId="49" fontId="8" fillId="0" borderId="30" xfId="0" applyNumberFormat="1" applyFont="1" applyBorder="1" applyAlignment="1">
      <alignment horizontal="left" vertical="top" wrapText="1"/>
    </xf>
    <xf numFmtId="0" fontId="8" fillId="0" borderId="30" xfId="184" applyFont="1" applyBorder="1" applyAlignment="1">
      <alignment vertical="center"/>
      <protection/>
    </xf>
    <xf numFmtId="3" fontId="9" fillId="0" borderId="39" xfId="0" applyNumberFormat="1" applyFont="1" applyBorder="1" applyAlignment="1">
      <alignment horizontal="left" vertical="center"/>
    </xf>
    <xf numFmtId="3" fontId="12" fillId="0" borderId="56" xfId="0" applyNumberFormat="1" applyFont="1" applyBorder="1" applyAlignment="1">
      <alignment vertical="center"/>
    </xf>
    <xf numFmtId="3" fontId="12" fillId="0" borderId="59" xfId="0" applyNumberFormat="1" applyFont="1" applyBorder="1" applyAlignment="1">
      <alignment vertical="center"/>
    </xf>
    <xf numFmtId="0" fontId="8" fillId="0" borderId="39" xfId="153" applyFont="1" applyBorder="1" applyAlignment="1">
      <alignment horizontal="left" vertical="top" wrapText="1"/>
      <protection/>
    </xf>
    <xf numFmtId="3" fontId="6" fillId="0" borderId="29" xfId="0" applyNumberFormat="1" applyFont="1" applyBorder="1" applyAlignment="1">
      <alignment vertical="center"/>
    </xf>
    <xf numFmtId="0" fontId="8" fillId="0" borderId="14" xfId="153" applyFont="1" applyBorder="1" applyAlignment="1">
      <alignment horizontal="left" vertical="top" wrapText="1"/>
      <protection/>
    </xf>
    <xf numFmtId="0" fontId="9" fillId="0" borderId="14" xfId="154" applyFont="1" applyBorder="1" applyAlignment="1">
      <alignment vertical="top"/>
      <protection/>
    </xf>
    <xf numFmtId="3" fontId="6" fillId="0" borderId="13" xfId="0" applyNumberFormat="1" applyFont="1" applyBorder="1" applyAlignment="1">
      <alignment vertical="center"/>
    </xf>
    <xf numFmtId="0" fontId="8" fillId="0" borderId="30" xfId="160" applyFont="1" applyBorder="1" applyAlignment="1">
      <alignment vertical="center" wrapText="1"/>
      <protection/>
    </xf>
    <xf numFmtId="49" fontId="8" fillId="0" borderId="39" xfId="175" applyNumberFormat="1" applyFont="1" applyBorder="1" applyAlignment="1">
      <alignment horizontal="left" vertical="center" wrapText="1"/>
      <protection/>
    </xf>
    <xf numFmtId="0" fontId="8" fillId="0" borderId="14" xfId="154" applyFont="1" applyBorder="1" applyAlignment="1">
      <alignment vertical="top"/>
      <protection/>
    </xf>
    <xf numFmtId="0" fontId="8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9" fillId="0" borderId="49" xfId="0" applyNumberFormat="1" applyFont="1" applyBorder="1" applyAlignment="1">
      <alignment horizontal="left" vertical="center"/>
    </xf>
    <xf numFmtId="3" fontId="13" fillId="0" borderId="28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3" fontId="8" fillId="0" borderId="30" xfId="0" applyNumberFormat="1" applyFont="1" applyBorder="1" applyAlignment="1">
      <alignment horizontal="left" vertical="center" wrapText="1"/>
    </xf>
    <xf numFmtId="3" fontId="8" fillId="0" borderId="77" xfId="0" applyNumberFormat="1" applyFont="1" applyBorder="1" applyAlignment="1">
      <alignment horizontal="left" vertical="center" wrapText="1"/>
    </xf>
    <xf numFmtId="0" fontId="8" fillId="0" borderId="30" xfId="160" applyFont="1" applyBorder="1" applyAlignment="1">
      <alignment horizontal="left" vertical="center" wrapText="1"/>
      <protection/>
    </xf>
    <xf numFmtId="3" fontId="8" fillId="0" borderId="78" xfId="0" applyNumberFormat="1" applyFont="1" applyBorder="1" applyAlignment="1">
      <alignment horizontal="left" vertical="center" wrapText="1"/>
    </xf>
    <xf numFmtId="3" fontId="13" fillId="0" borderId="51" xfId="0" applyNumberFormat="1" applyFont="1" applyBorder="1" applyAlignment="1">
      <alignment vertical="center"/>
    </xf>
    <xf numFmtId="0" fontId="9" fillId="0" borderId="13" xfId="154" applyFont="1" applyBorder="1" applyAlignment="1">
      <alignment horizontal="center" vertical="center"/>
      <protection/>
    </xf>
    <xf numFmtId="0" fontId="9" fillId="0" borderId="14" xfId="184" applyFont="1" applyBorder="1" applyAlignment="1">
      <alignment vertical="center"/>
      <protection/>
    </xf>
    <xf numFmtId="0" fontId="8" fillId="0" borderId="14" xfId="184" applyFont="1" applyBorder="1" applyAlignment="1">
      <alignment vertical="center"/>
      <protection/>
    </xf>
    <xf numFmtId="16" fontId="8" fillId="0" borderId="13" xfId="154" applyNumberFormat="1" applyFont="1" applyBorder="1" applyAlignment="1">
      <alignment horizontal="center" vertical="center"/>
      <protection/>
    </xf>
    <xf numFmtId="0" fontId="8" fillId="0" borderId="14" xfId="187" applyFont="1" applyBorder="1" applyAlignment="1">
      <alignment vertical="center"/>
      <protection/>
    </xf>
    <xf numFmtId="16" fontId="8" fillId="0" borderId="14" xfId="154" applyNumberFormat="1" applyFont="1" applyBorder="1" applyAlignment="1">
      <alignment horizontal="left" vertical="center"/>
      <protection/>
    </xf>
    <xf numFmtId="0" fontId="9" fillId="0" borderId="14" xfId="154" applyFont="1" applyBorder="1" applyAlignment="1">
      <alignment vertical="center"/>
      <protection/>
    </xf>
    <xf numFmtId="3" fontId="13" fillId="0" borderId="24" xfId="0" applyNumberFormat="1" applyFont="1" applyBorder="1" applyAlignment="1">
      <alignment horizontal="center" vertical="center"/>
    </xf>
    <xf numFmtId="0" fontId="13" fillId="0" borderId="13" xfId="154" applyFont="1" applyBorder="1" applyAlignment="1">
      <alignment horizontal="center" vertical="top" wrapText="1"/>
      <protection/>
    </xf>
    <xf numFmtId="0" fontId="8" fillId="0" borderId="14" xfId="160" applyFont="1" applyBorder="1" applyAlignment="1">
      <alignment horizontal="left" vertical="center" wrapText="1"/>
      <protection/>
    </xf>
    <xf numFmtId="0" fontId="8" fillId="0" borderId="14" xfId="150" applyFont="1" applyBorder="1" applyAlignment="1">
      <alignment vertical="top" wrapText="1"/>
      <protection/>
    </xf>
    <xf numFmtId="0" fontId="8" fillId="0" borderId="14" xfId="187" applyFont="1" applyBorder="1" applyAlignment="1">
      <alignment vertical="center" wrapText="1"/>
      <protection/>
    </xf>
    <xf numFmtId="0" fontId="8" fillId="0" borderId="14" xfId="153" applyFont="1" applyBorder="1" applyAlignment="1">
      <alignment vertical="top" wrapText="1"/>
      <protection/>
    </xf>
    <xf numFmtId="3" fontId="9" fillId="0" borderId="30" xfId="0" applyNumberFormat="1" applyFont="1" applyBorder="1" applyAlignment="1">
      <alignment vertical="center"/>
    </xf>
    <xf numFmtId="0" fontId="8" fillId="0" borderId="0" xfId="147" applyFont="1" applyAlignment="1">
      <alignment vertical="center" wrapText="1"/>
      <protection/>
    </xf>
    <xf numFmtId="3" fontId="8" fillId="0" borderId="30" xfId="162" applyNumberFormat="1" applyFont="1" applyBorder="1" applyAlignment="1">
      <alignment horizontal="left" vertical="center" wrapText="1"/>
      <protection/>
    </xf>
    <xf numFmtId="3" fontId="8" fillId="0" borderId="30" xfId="187" applyNumberFormat="1" applyFont="1" applyBorder="1" applyAlignment="1">
      <alignment vertical="center" wrapText="1"/>
      <protection/>
    </xf>
    <xf numFmtId="3" fontId="8" fillId="0" borderId="30" xfId="149" applyNumberFormat="1" applyFont="1" applyBorder="1" applyAlignment="1">
      <alignment vertical="top" wrapText="1"/>
      <protection/>
    </xf>
    <xf numFmtId="0" fontId="23" fillId="0" borderId="14" xfId="154" applyFont="1" applyBorder="1" applyAlignment="1">
      <alignment vertical="center"/>
      <protection/>
    </xf>
    <xf numFmtId="3" fontId="23" fillId="0" borderId="30" xfId="0" applyNumberFormat="1" applyFont="1" applyBorder="1" applyAlignment="1">
      <alignment horizontal="left" vertical="center" wrapText="1"/>
    </xf>
    <xf numFmtId="3" fontId="13" fillId="0" borderId="79" xfId="0" applyNumberFormat="1" applyFont="1" applyBorder="1" applyAlignment="1">
      <alignment vertical="center"/>
    </xf>
    <xf numFmtId="0" fontId="23" fillId="0" borderId="14" xfId="147" applyFont="1" applyBorder="1" applyAlignment="1">
      <alignment vertical="center" wrapText="1"/>
      <protection/>
    </xf>
    <xf numFmtId="0" fontId="23" fillId="0" borderId="30" xfId="147" applyFont="1" applyBorder="1" applyAlignment="1">
      <alignment vertical="center" wrapText="1"/>
      <protection/>
    </xf>
    <xf numFmtId="3" fontId="13" fillId="0" borderId="0" xfId="0" applyNumberFormat="1" applyFont="1" applyAlignment="1">
      <alignment vertical="center"/>
    </xf>
    <xf numFmtId="0" fontId="8" fillId="0" borderId="77" xfId="188" applyFont="1" applyBorder="1" applyAlignment="1">
      <alignment vertical="center" wrapText="1"/>
      <protection/>
    </xf>
    <xf numFmtId="0" fontId="13" fillId="0" borderId="29" xfId="188" applyFont="1" applyBorder="1" applyAlignment="1">
      <alignment vertical="center" wrapText="1"/>
      <protection/>
    </xf>
    <xf numFmtId="3" fontId="13" fillId="0" borderId="13" xfId="188" applyNumberFormat="1" applyFont="1" applyBorder="1" applyAlignment="1">
      <alignment vertical="center" wrapText="1"/>
      <protection/>
    </xf>
    <xf numFmtId="3" fontId="12" fillId="0" borderId="29" xfId="0" applyNumberFormat="1" applyFont="1" applyBorder="1" applyAlignment="1">
      <alignment horizontal="left" vertical="center"/>
    </xf>
    <xf numFmtId="0" fontId="8" fillId="0" borderId="30" xfId="188" applyFont="1" applyBorder="1" applyAlignment="1">
      <alignment vertical="center" wrapText="1"/>
      <protection/>
    </xf>
    <xf numFmtId="0" fontId="13" fillId="0" borderId="46" xfId="188" applyFont="1" applyBorder="1" applyAlignment="1">
      <alignment vertical="center" wrapText="1"/>
      <protection/>
    </xf>
    <xf numFmtId="0" fontId="8" fillId="0" borderId="30" xfId="154" applyFont="1" applyBorder="1" applyAlignment="1">
      <alignment vertical="top" wrapText="1"/>
      <protection/>
    </xf>
    <xf numFmtId="3" fontId="12" fillId="0" borderId="46" xfId="0" applyNumberFormat="1" applyFont="1" applyBorder="1" applyAlignment="1">
      <alignment vertical="center"/>
    </xf>
    <xf numFmtId="49" fontId="8" fillId="0" borderId="30" xfId="175" applyNumberFormat="1" applyFont="1" applyBorder="1" applyAlignment="1">
      <alignment horizontal="left" vertical="top" wrapText="1"/>
      <protection/>
    </xf>
    <xf numFmtId="3" fontId="12" fillId="0" borderId="56" xfId="0" applyNumberFormat="1" applyFont="1" applyBorder="1" applyAlignment="1">
      <alignment vertical="center"/>
    </xf>
    <xf numFmtId="49" fontId="8" fillId="0" borderId="50" xfId="175" applyNumberFormat="1" applyFont="1" applyBorder="1" applyAlignment="1">
      <alignment horizontal="left" vertical="top" wrapText="1"/>
      <protection/>
    </xf>
    <xf numFmtId="3" fontId="12" fillId="0" borderId="59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right" vertical="center"/>
    </xf>
    <xf numFmtId="3" fontId="20" fillId="0" borderId="13" xfId="191" applyNumberFormat="1" applyFont="1" applyBorder="1" applyAlignment="1">
      <alignment horizontal="center" vertical="top" wrapText="1"/>
      <protection/>
    </xf>
    <xf numFmtId="3" fontId="13" fillId="0" borderId="63" xfId="191" applyNumberFormat="1" applyFont="1" applyBorder="1" applyAlignment="1">
      <alignment horizontal="right" vertical="center"/>
      <protection/>
    </xf>
    <xf numFmtId="3" fontId="13" fillId="0" borderId="21" xfId="191" applyNumberFormat="1" applyFont="1" applyBorder="1" applyAlignment="1">
      <alignment horizontal="right" vertical="center"/>
      <protection/>
    </xf>
    <xf numFmtId="1" fontId="14" fillId="0" borderId="13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horizontal="right" vertical="center"/>
    </xf>
    <xf numFmtId="3" fontId="8" fillId="0" borderId="14" xfId="191" applyNumberFormat="1" applyFont="1" applyBorder="1" applyAlignment="1">
      <alignment horizontal="left" vertical="center" wrapText="1"/>
      <protection/>
    </xf>
    <xf numFmtId="3" fontId="8" fillId="0" borderId="28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3" fontId="23" fillId="0" borderId="14" xfId="0" applyNumberFormat="1" applyFont="1" applyBorder="1" applyAlignment="1">
      <alignment horizontal="left"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left" vertical="center"/>
    </xf>
    <xf numFmtId="0" fontId="8" fillId="0" borderId="49" xfId="151" applyFont="1" applyBorder="1" applyAlignment="1">
      <alignment vertical="top"/>
      <protection/>
    </xf>
    <xf numFmtId="0" fontId="8" fillId="0" borderId="78" xfId="185" applyFont="1" applyBorder="1" applyAlignment="1">
      <alignment vertical="center" wrapText="1"/>
      <protection/>
    </xf>
    <xf numFmtId="3" fontId="13" fillId="0" borderId="13" xfId="169" applyNumberFormat="1" applyFont="1" applyBorder="1" applyAlignment="1">
      <alignment horizontal="right" vertical="center"/>
      <protection/>
    </xf>
    <xf numFmtId="3" fontId="6" fillId="0" borderId="0" xfId="0" applyNumberFormat="1" applyFont="1" applyAlignment="1">
      <alignment vertical="center"/>
    </xf>
    <xf numFmtId="0" fontId="21" fillId="0" borderId="13" xfId="168" applyFont="1" applyBorder="1" applyAlignment="1">
      <alignment horizontal="center" vertical="center" wrapText="1"/>
      <protection/>
    </xf>
    <xf numFmtId="0" fontId="21" fillId="0" borderId="13" xfId="168" applyFont="1" applyBorder="1" applyAlignment="1">
      <alignment horizontal="left" vertical="center" wrapText="1"/>
      <protection/>
    </xf>
    <xf numFmtId="0" fontId="13" fillId="0" borderId="13" xfId="180" applyFont="1" applyBorder="1" applyAlignment="1">
      <alignment vertical="center"/>
      <protection/>
    </xf>
    <xf numFmtId="0" fontId="13" fillId="0" borderId="13" xfId="168" applyFont="1" applyBorder="1" applyAlignment="1">
      <alignment horizontal="center" vertical="center" wrapText="1"/>
      <protection/>
    </xf>
    <xf numFmtId="0" fontId="13" fillId="0" borderId="13" xfId="168" applyFont="1" applyBorder="1" applyAlignment="1">
      <alignment horizontal="left" vertical="center" wrapText="1"/>
      <protection/>
    </xf>
    <xf numFmtId="3" fontId="13" fillId="0" borderId="13" xfId="191" applyNumberFormat="1" applyFont="1" applyBorder="1" applyAlignment="1">
      <alignment horizontal="right" vertical="center" wrapText="1"/>
      <protection/>
    </xf>
    <xf numFmtId="0" fontId="18" fillId="0" borderId="0" xfId="143">
      <alignment/>
      <protection/>
    </xf>
    <xf numFmtId="0" fontId="8" fillId="0" borderId="13" xfId="179" applyFont="1" applyBorder="1" applyAlignment="1">
      <alignment horizontal="center" vertical="center" wrapText="1"/>
      <protection/>
    </xf>
    <xf numFmtId="0" fontId="8" fillId="0" borderId="13" xfId="169" applyFont="1" applyBorder="1" applyAlignment="1">
      <alignment vertical="center"/>
      <protection/>
    </xf>
    <xf numFmtId="164" fontId="8" fillId="0" borderId="13" xfId="173" applyNumberFormat="1" applyFont="1" applyBorder="1">
      <alignment/>
      <protection/>
    </xf>
    <xf numFmtId="0" fontId="8" fillId="0" borderId="13" xfId="173" applyFont="1" applyBorder="1">
      <alignment/>
      <protection/>
    </xf>
    <xf numFmtId="164" fontId="8" fillId="0" borderId="13" xfId="179" applyNumberFormat="1" applyFont="1" applyBorder="1">
      <alignment/>
      <protection/>
    </xf>
    <xf numFmtId="0" fontId="68" fillId="0" borderId="13" xfId="179" applyFont="1" applyBorder="1" applyAlignment="1">
      <alignment horizontal="center" vertical="center" wrapText="1"/>
      <protection/>
    </xf>
    <xf numFmtId="0" fontId="8" fillId="0" borderId="13" xfId="176" applyFont="1" applyBorder="1" applyAlignment="1">
      <alignment horizontal="left" vertical="center" wrapText="1"/>
      <protection/>
    </xf>
    <xf numFmtId="164" fontId="8" fillId="0" borderId="13" xfId="179" applyNumberFormat="1" applyFont="1" applyBorder="1" applyAlignment="1">
      <alignment vertical="center"/>
      <protection/>
    </xf>
    <xf numFmtId="0" fontId="69" fillId="0" borderId="0" xfId="174" applyFont="1">
      <alignment/>
      <protection/>
    </xf>
    <xf numFmtId="0" fontId="8" fillId="0" borderId="13" xfId="179" applyFont="1" applyBorder="1" applyAlignment="1">
      <alignment vertical="center"/>
      <protection/>
    </xf>
    <xf numFmtId="165" fontId="8" fillId="0" borderId="13" xfId="179" applyNumberFormat="1" applyFont="1" applyBorder="1" applyAlignment="1">
      <alignment vertical="center"/>
      <protection/>
    </xf>
    <xf numFmtId="0" fontId="70" fillId="0" borderId="0" xfId="174" applyFont="1">
      <alignment/>
      <protection/>
    </xf>
    <xf numFmtId="0" fontId="8" fillId="0" borderId="13" xfId="169" applyFont="1" applyBorder="1" applyAlignment="1">
      <alignment vertical="center" wrapText="1"/>
      <protection/>
    </xf>
    <xf numFmtId="164" fontId="8" fillId="0" borderId="13" xfId="173" applyNumberFormat="1" applyFont="1" applyBorder="1" applyAlignment="1">
      <alignment vertical="center"/>
      <protection/>
    </xf>
    <xf numFmtId="0" fontId="8" fillId="0" borderId="13" xfId="179" applyFont="1" applyBorder="1">
      <alignment/>
      <protection/>
    </xf>
    <xf numFmtId="0" fontId="8" fillId="0" borderId="13" xfId="179" applyFont="1" applyBorder="1" applyAlignment="1">
      <alignment vertical="center" wrapText="1"/>
      <protection/>
    </xf>
    <xf numFmtId="165" fontId="8" fillId="0" borderId="13" xfId="179" applyNumberFormat="1" applyFont="1" applyBorder="1">
      <alignment/>
      <protection/>
    </xf>
    <xf numFmtId="2" fontId="8" fillId="0" borderId="13" xfId="179" applyNumberFormat="1" applyFont="1" applyBorder="1">
      <alignment/>
      <protection/>
    </xf>
  </cellXfs>
  <cellStyles count="19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elölőszín 1" xfId="126"/>
    <cellStyle name="Jelölőszín 2" xfId="127"/>
    <cellStyle name="Jelölőszín 3" xfId="128"/>
    <cellStyle name="Jelölőszín 4" xfId="129"/>
    <cellStyle name="Jelölőszín 5" xfId="130"/>
    <cellStyle name="Jelölőszín 6" xfId="131"/>
    <cellStyle name="Jó" xfId="132"/>
    <cellStyle name="Jó 2" xfId="133"/>
    <cellStyle name="Kimenet" xfId="134"/>
    <cellStyle name="Kimenet 2" xfId="135"/>
    <cellStyle name="Linked Cell" xfId="136"/>
    <cellStyle name="Magyarázó szöveg" xfId="137"/>
    <cellStyle name="Magyarázó szöveg 2" xfId="138"/>
    <cellStyle name="Followed Hyperlink" xfId="139"/>
    <cellStyle name="Neutral" xfId="140"/>
    <cellStyle name="Normál 2" xfId="141"/>
    <cellStyle name="Normál 3" xfId="142"/>
    <cellStyle name="Normál 4" xfId="143"/>
    <cellStyle name="Normál_   5    (2)" xfId="144"/>
    <cellStyle name="Normál_   5    (2)_KÖLTSÉGVETÉS 2015 intézmények " xfId="145"/>
    <cellStyle name="Normál_   5-a    (2)" xfId="146"/>
    <cellStyle name="Normál_   7   x" xfId="147"/>
    <cellStyle name="Normál_   7   x_2012. III.negyedévi ei. módosítás_2019. I.névi ei-módosítás" xfId="148"/>
    <cellStyle name="Normál_   7   x_2012. III.negyedévi ei. módosítás_Intézményi táblák" xfId="149"/>
    <cellStyle name="Normál_   7   x_2014_ktsv tervezet_btcs_6.a" xfId="150"/>
    <cellStyle name="Normál_   7   x_7_6.a" xfId="151"/>
    <cellStyle name="Normál_   7   x_Másolat eredetije2014. műk-beru-felúj. 2" xfId="152"/>
    <cellStyle name="Normál_   7   x_Másolat eredetije2014. műk-beru-felúj._2019. I.névi ei-módosítás" xfId="153"/>
    <cellStyle name="Normál_   7   x_Másolat eredetije2014. műk-beru-felúj._6.a" xfId="154"/>
    <cellStyle name="Normál_   7   x_Másolat eredetije2014. műk-beru-felúj._Intézményi táblák" xfId="155"/>
    <cellStyle name="Normál_  3   _2010.évi állami_állami  tám." xfId="156"/>
    <cellStyle name="Normál_16.sz. melléklet" xfId="157"/>
    <cellStyle name="Normál_2001.évi költségvkoncepció" xfId="158"/>
    <cellStyle name="Normál_2012. évi beszámoló 5.a 6a" xfId="159"/>
    <cellStyle name="Normál_2016.egyénikerigények" xfId="160"/>
    <cellStyle name="Normál_213_évi_költségvetés_MCS_2016. IV.névi módosítás" xfId="161"/>
    <cellStyle name="Normál_213_évi_költségvetés_MCS_2019. I.névi ei-módosítás" xfId="162"/>
    <cellStyle name="Normál_213_évi_költségvetés_MCS_Intézményi táblák" xfId="163"/>
    <cellStyle name="Normál_3" xfId="164"/>
    <cellStyle name="Normál_eredeti biz.után" xfId="165"/>
    <cellStyle name="Normál_Európai Uniós pályázatok 2009.01.15. átdolgozott_KÖLTSÉGVETÉS 2015 intézmények _Intézményi táblák" xfId="166"/>
    <cellStyle name="Normál_Infrastukturális fejlesztések Zalaegerszegen" xfId="167"/>
    <cellStyle name="Normál_Intézmények 2014" xfId="168"/>
    <cellStyle name="Normál_INTKIA96" xfId="169"/>
    <cellStyle name="Normál_Kezességvállalás 2018" xfId="170"/>
    <cellStyle name="Normál_KÖLTSÉGVETÉS_2013 (1)" xfId="171"/>
    <cellStyle name="Normál_Közvetett támogatások 2016" xfId="172"/>
    <cellStyle name="Normál_Létszám 2014. évi ktgvetés_2014.IV.negyedévi létszám ei. módosítás és 2015_Létszámok 2019. január 1" xfId="173"/>
    <cellStyle name="Normál_Létszámelőirányzat  2018_Létszámok 2019. január 1" xfId="174"/>
    <cellStyle name="Normál_Másolat eredetije2014. műk-beru-felúj." xfId="175"/>
    <cellStyle name="Normál_Munka1" xfId="176"/>
    <cellStyle name="Normál_Munka2 (2)" xfId="177"/>
    <cellStyle name="Normál_Munka2 (2) 2" xfId="178"/>
    <cellStyle name="Normál_Munka2 (2)_2014.IV.negyedévi létszám ei. módosítás és 2015" xfId="179"/>
    <cellStyle name="Normál_Munka2 (2)_KÖLTSÉGVETÉS 2015 intézmények " xfId="180"/>
    <cellStyle name="Normál_Munka2 (2)_KÖLTSÉGVETÉS_2015." xfId="181"/>
    <cellStyle name="Normál_Munka2 (2)_táj.1." xfId="182"/>
    <cellStyle name="Normál_Munka3 (2)" xfId="183"/>
    <cellStyle name="Normál_Munka3 (2)_Másolat eredetije2014. műk-beru-felúj._2016. IV.névi módosítás" xfId="184"/>
    <cellStyle name="Normál_Munka3 (2)_Másolat eredetije2014. műk-beru-felúj._2017.KÖLTSÉGVETÉS" xfId="185"/>
    <cellStyle name="Normál_Munka3 (2)_Másolat eredetije2014. műk-beru-felúj._2018. I.névi ei-módosítás" xfId="186"/>
    <cellStyle name="Normál_Munka3 (2)_Másolat eredetije2014. műk-beru-felúj._2019. I.névi ei-módosítás" xfId="187"/>
    <cellStyle name="Normál_Munka3 (2)_Másolat eredetije2014. műk-beru-felúj._6.a" xfId="188"/>
    <cellStyle name="Normál_Munka3 (2)_Másolat eredetije2014. műk-beru-felúj._Intézményi táblák" xfId="189"/>
    <cellStyle name="Normál_Műszaki Osztály fejlesztés2016" xfId="190"/>
    <cellStyle name="Normál_ÖKIADELÖ" xfId="191"/>
    <cellStyle name="Normal_tanusitv" xfId="192"/>
    <cellStyle name="Note" xfId="193"/>
    <cellStyle name="Output" xfId="194"/>
    <cellStyle name="Összesen" xfId="195"/>
    <cellStyle name="Összesen 2" xfId="196"/>
    <cellStyle name="Currency" xfId="197"/>
    <cellStyle name="Currency [0]" xfId="198"/>
    <cellStyle name="Rossz" xfId="199"/>
    <cellStyle name="Rossz 2" xfId="200"/>
    <cellStyle name="Semleges" xfId="201"/>
    <cellStyle name="Semleges 2" xfId="202"/>
    <cellStyle name="Számítás" xfId="203"/>
    <cellStyle name="Számítás 2" xfId="204"/>
    <cellStyle name="Percent" xfId="205"/>
    <cellStyle name="Title" xfId="206"/>
    <cellStyle name="Total" xfId="207"/>
    <cellStyle name="Warning Text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9\04.11\2019.%20I.n&#233;vi%20ei-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táj.1"/>
      <sheetName val="táj.2"/>
      <sheetName val="táj.3"/>
      <sheetName val="táj.4"/>
    </sheetNames>
    <sheetDataSet>
      <sheetData sheetId="5">
        <row r="8">
          <cell r="E8">
            <v>0</v>
          </cell>
          <cell r="F8">
            <v>0</v>
          </cell>
          <cell r="G8">
            <v>0</v>
          </cell>
          <cell r="H8">
            <v>9906</v>
          </cell>
          <cell r="I8">
            <v>0</v>
          </cell>
          <cell r="J8">
            <v>0</v>
          </cell>
          <cell r="K8">
            <v>0</v>
          </cell>
          <cell r="N8">
            <v>0</v>
          </cell>
        </row>
        <row r="19">
          <cell r="E19">
            <v>36078</v>
          </cell>
          <cell r="F19">
            <v>22000</v>
          </cell>
          <cell r="G19">
            <v>0</v>
          </cell>
          <cell r="H19">
            <v>6968</v>
          </cell>
          <cell r="I19">
            <v>0</v>
          </cell>
          <cell r="J19">
            <v>4500</v>
          </cell>
          <cell r="K19">
            <v>0</v>
          </cell>
          <cell r="N19">
            <v>0</v>
          </cell>
        </row>
        <row r="23">
          <cell r="H23">
            <v>5080</v>
          </cell>
        </row>
        <row r="39">
          <cell r="E39">
            <v>18382</v>
          </cell>
          <cell r="F39">
            <v>0</v>
          </cell>
          <cell r="G39">
            <v>0</v>
          </cell>
          <cell r="H39">
            <v>480071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70">
          <cell r="E70">
            <v>228810</v>
          </cell>
          <cell r="F70">
            <v>6274455</v>
          </cell>
          <cell r="G70">
            <v>0</v>
          </cell>
          <cell r="H70">
            <v>3911953</v>
          </cell>
          <cell r="I70">
            <v>0</v>
          </cell>
          <cell r="J70">
            <v>0</v>
          </cell>
          <cell r="K70">
            <v>190500</v>
          </cell>
          <cell r="L70">
            <v>0</v>
          </cell>
          <cell r="M70">
            <v>0</v>
          </cell>
          <cell r="N70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445574</v>
          </cell>
          <cell r="I96">
            <v>226720</v>
          </cell>
          <cell r="J96">
            <v>0</v>
          </cell>
          <cell r="K96">
            <v>5900</v>
          </cell>
          <cell r="L96">
            <v>0</v>
          </cell>
          <cell r="M96">
            <v>145955</v>
          </cell>
          <cell r="N96">
            <v>129308</v>
          </cell>
        </row>
        <row r="104">
          <cell r="E104">
            <v>0</v>
          </cell>
          <cell r="F104">
            <v>0</v>
          </cell>
          <cell r="G104">
            <v>5000</v>
          </cell>
          <cell r="H104">
            <v>76944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36">
          <cell r="E136">
            <v>3064762</v>
          </cell>
          <cell r="F136">
            <v>0</v>
          </cell>
          <cell r="G136">
            <v>5409000</v>
          </cell>
          <cell r="H136">
            <v>111180</v>
          </cell>
          <cell r="I136">
            <v>0</v>
          </cell>
          <cell r="J136">
            <v>0</v>
          </cell>
          <cell r="K136">
            <v>0</v>
          </cell>
          <cell r="L136">
            <v>190999</v>
          </cell>
          <cell r="M136">
            <v>9066253</v>
          </cell>
          <cell r="N136">
            <v>12121553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1809</v>
          </cell>
          <cell r="I146">
            <v>0</v>
          </cell>
          <cell r="J146">
            <v>322</v>
          </cell>
          <cell r="K146">
            <v>3124</v>
          </cell>
          <cell r="L146">
            <v>0</v>
          </cell>
          <cell r="M146">
            <v>0</v>
          </cell>
          <cell r="N146">
            <v>0</v>
          </cell>
        </row>
        <row r="148">
          <cell r="E148">
            <v>332844</v>
          </cell>
          <cell r="F148">
            <v>10100</v>
          </cell>
          <cell r="G148">
            <v>0</v>
          </cell>
          <cell r="H148">
            <v>1251889</v>
          </cell>
          <cell r="I148">
            <v>0</v>
          </cell>
          <cell r="J148">
            <v>89449</v>
          </cell>
          <cell r="K148">
            <v>0</v>
          </cell>
          <cell r="M148">
            <v>308206</v>
          </cell>
        </row>
      </sheetData>
      <sheetData sheetId="7">
        <row r="46">
          <cell r="G46">
            <v>0</v>
          </cell>
          <cell r="H46">
            <v>4950</v>
          </cell>
          <cell r="I46">
            <v>36138</v>
          </cell>
          <cell r="J46">
            <v>89350</v>
          </cell>
          <cell r="K46">
            <v>3200</v>
          </cell>
          <cell r="L46">
            <v>635</v>
          </cell>
          <cell r="M46">
            <v>0</v>
          </cell>
          <cell r="N46">
            <v>36929</v>
          </cell>
          <cell r="O46">
            <v>0</v>
          </cell>
          <cell r="P46">
            <v>0</v>
          </cell>
        </row>
        <row r="213">
          <cell r="G213">
            <v>4123</v>
          </cell>
          <cell r="H213">
            <v>1687</v>
          </cell>
          <cell r="I213">
            <v>46223</v>
          </cell>
          <cell r="J213">
            <v>5600</v>
          </cell>
          <cell r="K213">
            <v>651919</v>
          </cell>
          <cell r="L213">
            <v>27129</v>
          </cell>
          <cell r="M213">
            <v>19795</v>
          </cell>
          <cell r="N213">
            <v>32715</v>
          </cell>
          <cell r="O213">
            <v>0</v>
          </cell>
          <cell r="P213">
            <v>0</v>
          </cell>
        </row>
        <row r="226">
          <cell r="G226">
            <v>0</v>
          </cell>
          <cell r="H226">
            <v>0</v>
          </cell>
          <cell r="I226">
            <v>8758</v>
          </cell>
          <cell r="J226">
            <v>0</v>
          </cell>
          <cell r="K226">
            <v>0</v>
          </cell>
          <cell r="L226">
            <v>11665</v>
          </cell>
          <cell r="M226">
            <v>500</v>
          </cell>
          <cell r="N226">
            <v>6612</v>
          </cell>
          <cell r="O226">
            <v>0</v>
          </cell>
          <cell r="P226">
            <v>0</v>
          </cell>
        </row>
        <row r="468">
          <cell r="G468">
            <v>7060</v>
          </cell>
          <cell r="H468">
            <v>1262</v>
          </cell>
          <cell r="I468">
            <v>1453646</v>
          </cell>
          <cell r="J468">
            <v>0</v>
          </cell>
          <cell r="K468">
            <v>386384</v>
          </cell>
          <cell r="L468">
            <v>164829</v>
          </cell>
          <cell r="M468">
            <v>186046</v>
          </cell>
          <cell r="N468">
            <v>500</v>
          </cell>
          <cell r="O468">
            <v>0</v>
          </cell>
          <cell r="P468">
            <v>0</v>
          </cell>
        </row>
        <row r="629">
          <cell r="G629">
            <v>68248</v>
          </cell>
          <cell r="H629">
            <v>15392</v>
          </cell>
          <cell r="I629">
            <v>4058997</v>
          </cell>
          <cell r="J629">
            <v>0</v>
          </cell>
          <cell r="K629">
            <v>17412</v>
          </cell>
          <cell r="L629">
            <v>20462932</v>
          </cell>
          <cell r="M629">
            <v>3963414</v>
          </cell>
          <cell r="N629">
            <v>108097</v>
          </cell>
          <cell r="O629">
            <v>0</v>
          </cell>
          <cell r="P629">
            <v>0</v>
          </cell>
        </row>
        <row r="654">
          <cell r="G654">
            <v>0</v>
          </cell>
          <cell r="H654">
            <v>0</v>
          </cell>
          <cell r="I654">
            <v>78587</v>
          </cell>
          <cell r="J654">
            <v>0</v>
          </cell>
          <cell r="K654">
            <v>0</v>
          </cell>
          <cell r="L654">
            <v>103439</v>
          </cell>
          <cell r="M654">
            <v>1806</v>
          </cell>
          <cell r="N654">
            <v>28500</v>
          </cell>
          <cell r="O654">
            <v>0</v>
          </cell>
          <cell r="P654">
            <v>25000</v>
          </cell>
        </row>
        <row r="675">
          <cell r="G675">
            <v>128341</v>
          </cell>
          <cell r="H675">
            <v>24179</v>
          </cell>
          <cell r="I675">
            <v>72392</v>
          </cell>
          <cell r="J675">
            <v>0</v>
          </cell>
          <cell r="K675">
            <v>5500</v>
          </cell>
          <cell r="L675">
            <v>7287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</row>
        <row r="705">
          <cell r="G705">
            <v>0</v>
          </cell>
          <cell r="H705">
            <v>0</v>
          </cell>
          <cell r="I705">
            <v>440067</v>
          </cell>
          <cell r="J705">
            <v>0</v>
          </cell>
          <cell r="K705">
            <v>436711</v>
          </cell>
          <cell r="L705">
            <v>0</v>
          </cell>
          <cell r="M705">
            <v>0</v>
          </cell>
          <cell r="N705">
            <v>4600</v>
          </cell>
          <cell r="O705">
            <v>74052</v>
          </cell>
          <cell r="P705">
            <v>2889014</v>
          </cell>
        </row>
        <row r="752">
          <cell r="G752">
            <v>14088</v>
          </cell>
          <cell r="H752">
            <v>6542</v>
          </cell>
          <cell r="I752">
            <v>156335</v>
          </cell>
          <cell r="J752">
            <v>0</v>
          </cell>
          <cell r="K752">
            <v>266258</v>
          </cell>
          <cell r="L752">
            <v>8792</v>
          </cell>
          <cell r="M752">
            <v>0</v>
          </cell>
          <cell r="N752">
            <v>15322</v>
          </cell>
          <cell r="O752">
            <v>0</v>
          </cell>
          <cell r="P752">
            <v>0</v>
          </cell>
        </row>
        <row r="768"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273232</v>
          </cell>
          <cell r="L768">
            <v>10000</v>
          </cell>
          <cell r="M768">
            <v>9939</v>
          </cell>
          <cell r="N768">
            <v>0</v>
          </cell>
          <cell r="O768">
            <v>0</v>
          </cell>
          <cell r="P768">
            <v>0</v>
          </cell>
        </row>
        <row r="770">
          <cell r="G770">
            <v>3841263</v>
          </cell>
          <cell r="H770">
            <v>786159</v>
          </cell>
          <cell r="I770">
            <v>2406788</v>
          </cell>
          <cell r="J770">
            <v>3400</v>
          </cell>
          <cell r="K770">
            <v>63403</v>
          </cell>
          <cell r="L770">
            <v>100451</v>
          </cell>
          <cell r="M770">
            <v>22000</v>
          </cell>
          <cell r="N770">
            <v>0</v>
          </cell>
          <cell r="P770">
            <v>0</v>
          </cell>
        </row>
      </sheetData>
      <sheetData sheetId="11">
        <row r="43">
          <cell r="H43">
            <v>18515</v>
          </cell>
        </row>
        <row r="44">
          <cell r="H44">
            <v>7944</v>
          </cell>
        </row>
        <row r="64">
          <cell r="H64">
            <v>9050</v>
          </cell>
        </row>
        <row r="68">
          <cell r="E68">
            <v>3200</v>
          </cell>
        </row>
        <row r="69">
          <cell r="K69">
            <v>190500</v>
          </cell>
        </row>
        <row r="79">
          <cell r="H79">
            <v>3242</v>
          </cell>
        </row>
        <row r="93">
          <cell r="K93">
            <v>900</v>
          </cell>
        </row>
        <row r="110">
          <cell r="H110">
            <v>801</v>
          </cell>
        </row>
        <row r="111">
          <cell r="H111">
            <v>5203</v>
          </cell>
          <cell r="N111">
            <v>796033</v>
          </cell>
        </row>
        <row r="112">
          <cell r="M112">
            <v>-6905</v>
          </cell>
        </row>
        <row r="115">
          <cell r="E115">
            <v>3402</v>
          </cell>
        </row>
        <row r="117">
          <cell r="E117">
            <v>24842</v>
          </cell>
        </row>
        <row r="118">
          <cell r="E118">
            <v>17339</v>
          </cell>
        </row>
        <row r="120">
          <cell r="N120">
            <v>553</v>
          </cell>
        </row>
        <row r="135">
          <cell r="H135">
            <v>14</v>
          </cell>
        </row>
        <row r="141">
          <cell r="J141">
            <v>322</v>
          </cell>
        </row>
        <row r="143">
          <cell r="H143">
            <v>1771</v>
          </cell>
          <cell r="K143">
            <v>3124</v>
          </cell>
        </row>
        <row r="145">
          <cell r="H145">
            <v>38</v>
          </cell>
          <cell r="O145">
            <v>38</v>
          </cell>
        </row>
      </sheetData>
      <sheetData sheetId="12">
        <row r="18">
          <cell r="I18">
            <v>5280</v>
          </cell>
          <cell r="J18">
            <v>-5280</v>
          </cell>
        </row>
        <row r="32">
          <cell r="J32">
            <v>-2400</v>
          </cell>
        </row>
        <row r="34">
          <cell r="I34">
            <v>-1244</v>
          </cell>
          <cell r="L34">
            <v>635</v>
          </cell>
        </row>
        <row r="44">
          <cell r="N44">
            <v>900</v>
          </cell>
        </row>
        <row r="51">
          <cell r="K51">
            <v>-40</v>
          </cell>
          <cell r="N51">
            <v>40</v>
          </cell>
        </row>
        <row r="52">
          <cell r="K52">
            <v>100</v>
          </cell>
        </row>
        <row r="57">
          <cell r="I57">
            <v>-120</v>
          </cell>
          <cell r="K57">
            <v>120</v>
          </cell>
        </row>
        <row r="59">
          <cell r="G59">
            <v>-50</v>
          </cell>
          <cell r="H59">
            <v>-20</v>
          </cell>
          <cell r="I59">
            <v>-1430</v>
          </cell>
          <cell r="K59">
            <v>1500</v>
          </cell>
        </row>
        <row r="68">
          <cell r="G68">
            <v>100</v>
          </cell>
          <cell r="H68">
            <v>63</v>
          </cell>
          <cell r="I68">
            <v>737</v>
          </cell>
          <cell r="K68">
            <v>-900</v>
          </cell>
        </row>
        <row r="90">
          <cell r="K90">
            <v>-450</v>
          </cell>
        </row>
        <row r="122">
          <cell r="K122">
            <v>500</v>
          </cell>
        </row>
        <row r="126">
          <cell r="K126">
            <v>-1850</v>
          </cell>
        </row>
        <row r="134">
          <cell r="K134">
            <v>352</v>
          </cell>
          <cell r="N134">
            <v>98</v>
          </cell>
        </row>
        <row r="136">
          <cell r="K136">
            <v>-500</v>
          </cell>
        </row>
        <row r="138">
          <cell r="K138">
            <v>1350</v>
          </cell>
        </row>
        <row r="162">
          <cell r="I162">
            <v>-14983</v>
          </cell>
          <cell r="K162">
            <v>14983</v>
          </cell>
        </row>
        <row r="165">
          <cell r="I165">
            <v>2246</v>
          </cell>
        </row>
        <row r="172">
          <cell r="M172">
            <v>500</v>
          </cell>
          <cell r="N172">
            <v>-500</v>
          </cell>
        </row>
        <row r="182">
          <cell r="I182">
            <v>178</v>
          </cell>
          <cell r="N182">
            <v>-178</v>
          </cell>
        </row>
        <row r="184">
          <cell r="L184">
            <v>-2500</v>
          </cell>
          <cell r="N184">
            <v>2500</v>
          </cell>
        </row>
        <row r="190">
          <cell r="L190">
            <v>251</v>
          </cell>
        </row>
        <row r="196">
          <cell r="M196">
            <v>-4000</v>
          </cell>
          <cell r="N196">
            <v>4000</v>
          </cell>
        </row>
        <row r="197">
          <cell r="M197">
            <v>423</v>
          </cell>
        </row>
        <row r="199">
          <cell r="M199">
            <v>-5000</v>
          </cell>
        </row>
        <row r="229">
          <cell r="L229">
            <v>2000</v>
          </cell>
        </row>
        <row r="230">
          <cell r="I230">
            <v>700</v>
          </cell>
        </row>
        <row r="234">
          <cell r="I234">
            <v>500</v>
          </cell>
        </row>
        <row r="244">
          <cell r="I244">
            <v>-500</v>
          </cell>
        </row>
        <row r="245">
          <cell r="I245">
            <v>-200</v>
          </cell>
        </row>
        <row r="255">
          <cell r="I255">
            <v>-244</v>
          </cell>
        </row>
        <row r="256">
          <cell r="I256">
            <v>-2441</v>
          </cell>
          <cell r="L256">
            <v>2441</v>
          </cell>
        </row>
        <row r="267">
          <cell r="I267">
            <v>-1386</v>
          </cell>
        </row>
        <row r="268">
          <cell r="I268">
            <v>-4655</v>
          </cell>
        </row>
        <row r="270">
          <cell r="I270">
            <v>-500</v>
          </cell>
        </row>
        <row r="280">
          <cell r="I280">
            <v>178</v>
          </cell>
        </row>
        <row r="281">
          <cell r="I281">
            <v>-178</v>
          </cell>
        </row>
        <row r="287">
          <cell r="G287">
            <v>12</v>
          </cell>
          <cell r="H287">
            <v>5</v>
          </cell>
          <cell r="I287">
            <v>-335</v>
          </cell>
          <cell r="L287">
            <v>318</v>
          </cell>
        </row>
        <row r="289">
          <cell r="H289">
            <v>16</v>
          </cell>
          <cell r="I289">
            <v>-756</v>
          </cell>
          <cell r="L289">
            <v>740</v>
          </cell>
        </row>
        <row r="290">
          <cell r="I290">
            <v>-370</v>
          </cell>
          <cell r="K290">
            <v>370</v>
          </cell>
        </row>
        <row r="297">
          <cell r="I297">
            <v>-1000</v>
          </cell>
          <cell r="K297">
            <v>1000</v>
          </cell>
        </row>
        <row r="299">
          <cell r="I299">
            <v>300</v>
          </cell>
        </row>
        <row r="315">
          <cell r="I315">
            <v>-207</v>
          </cell>
        </row>
        <row r="316">
          <cell r="I316">
            <v>207</v>
          </cell>
        </row>
        <row r="320">
          <cell r="L320">
            <v>-2296</v>
          </cell>
        </row>
        <row r="332">
          <cell r="M332">
            <v>186</v>
          </cell>
        </row>
        <row r="367">
          <cell r="M367">
            <v>889</v>
          </cell>
        </row>
        <row r="369">
          <cell r="M369">
            <v>-150</v>
          </cell>
        </row>
        <row r="372">
          <cell r="M372">
            <v>244</v>
          </cell>
        </row>
        <row r="374">
          <cell r="M374">
            <v>-250</v>
          </cell>
        </row>
        <row r="375">
          <cell r="M375">
            <v>900</v>
          </cell>
        </row>
        <row r="383">
          <cell r="M383">
            <v>-1000</v>
          </cell>
        </row>
        <row r="384">
          <cell r="L384">
            <v>-1100</v>
          </cell>
          <cell r="M384">
            <v>1100</v>
          </cell>
        </row>
        <row r="404">
          <cell r="M404">
            <v>5000</v>
          </cell>
        </row>
        <row r="420">
          <cell r="M420">
            <v>-500</v>
          </cell>
        </row>
        <row r="422">
          <cell r="M422">
            <v>-5000</v>
          </cell>
        </row>
        <row r="423">
          <cell r="M423">
            <v>-251</v>
          </cell>
        </row>
        <row r="428">
          <cell r="L428">
            <v>500</v>
          </cell>
        </row>
        <row r="429">
          <cell r="L429">
            <v>5039</v>
          </cell>
        </row>
        <row r="455">
          <cell r="L455">
            <v>-361</v>
          </cell>
          <cell r="M455">
            <v>361</v>
          </cell>
        </row>
        <row r="457">
          <cell r="N457">
            <v>-200</v>
          </cell>
        </row>
        <row r="463">
          <cell r="N463">
            <v>200</v>
          </cell>
          <cell r="Q463">
            <v>200</v>
          </cell>
        </row>
        <row r="466">
          <cell r="L466">
            <v>6500</v>
          </cell>
          <cell r="N466">
            <v>-6500</v>
          </cell>
        </row>
        <row r="472">
          <cell r="I472">
            <v>-423</v>
          </cell>
        </row>
        <row r="473">
          <cell r="I473">
            <v>-140</v>
          </cell>
          <cell r="L473">
            <v>140</v>
          </cell>
        </row>
        <row r="475">
          <cell r="I475">
            <v>10000</v>
          </cell>
        </row>
        <row r="484">
          <cell r="L484">
            <v>8804</v>
          </cell>
          <cell r="M484">
            <v>6465</v>
          </cell>
        </row>
        <row r="486">
          <cell r="L486">
            <v>1000</v>
          </cell>
        </row>
        <row r="492">
          <cell r="I492">
            <v>100</v>
          </cell>
          <cell r="M492">
            <v>5755</v>
          </cell>
        </row>
        <row r="494">
          <cell r="I494">
            <v>2160</v>
          </cell>
          <cell r="L494">
            <v>14350</v>
          </cell>
          <cell r="M494">
            <v>-9959</v>
          </cell>
        </row>
        <row r="499">
          <cell r="L499">
            <v>-1489</v>
          </cell>
        </row>
        <row r="519">
          <cell r="I519">
            <v>9000</v>
          </cell>
          <cell r="L519">
            <v>-9000</v>
          </cell>
        </row>
        <row r="522">
          <cell r="M522">
            <v>-1677</v>
          </cell>
        </row>
        <row r="524">
          <cell r="I524">
            <v>-800</v>
          </cell>
          <cell r="L524">
            <v>-2000</v>
          </cell>
          <cell r="M524">
            <v>-4101</v>
          </cell>
          <cell r="N524">
            <v>6901</v>
          </cell>
        </row>
        <row r="527">
          <cell r="K527">
            <v>5500</v>
          </cell>
          <cell r="L527">
            <v>14500</v>
          </cell>
          <cell r="M527">
            <v>-20000</v>
          </cell>
        </row>
        <row r="528">
          <cell r="I528">
            <v>213</v>
          </cell>
          <cell r="M528">
            <v>-213</v>
          </cell>
        </row>
        <row r="532">
          <cell r="M532">
            <v>1677</v>
          </cell>
        </row>
        <row r="553">
          <cell r="N553">
            <v>33452</v>
          </cell>
        </row>
        <row r="555">
          <cell r="L555">
            <v>-18538</v>
          </cell>
        </row>
        <row r="559">
          <cell r="L559">
            <v>-7370</v>
          </cell>
        </row>
        <row r="566">
          <cell r="L566">
            <v>3000</v>
          </cell>
        </row>
        <row r="576">
          <cell r="L576">
            <v>-1886</v>
          </cell>
          <cell r="M576">
            <v>9050</v>
          </cell>
          <cell r="N576">
            <v>1886</v>
          </cell>
        </row>
        <row r="610">
          <cell r="I610">
            <v>153430</v>
          </cell>
          <cell r="L610">
            <v>-358081</v>
          </cell>
          <cell r="M610">
            <v>204969</v>
          </cell>
        </row>
        <row r="611">
          <cell r="I611">
            <v>1377096</v>
          </cell>
          <cell r="L611">
            <v>-1319812</v>
          </cell>
          <cell r="M611">
            <v>-57284</v>
          </cell>
        </row>
        <row r="621">
          <cell r="L621">
            <v>190500</v>
          </cell>
        </row>
        <row r="622">
          <cell r="K622">
            <v>7200</v>
          </cell>
        </row>
        <row r="624">
          <cell r="M624">
            <v>-318</v>
          </cell>
        </row>
        <row r="627">
          <cell r="I627">
            <v>-7000</v>
          </cell>
          <cell r="L627">
            <v>-29452</v>
          </cell>
        </row>
        <row r="632">
          <cell r="M632">
            <v>1806</v>
          </cell>
        </row>
        <row r="646">
          <cell r="N646">
            <v>-4750</v>
          </cell>
        </row>
        <row r="647">
          <cell r="N647">
            <v>-5965</v>
          </cell>
        </row>
        <row r="653">
          <cell r="I653">
            <v>3767</v>
          </cell>
        </row>
        <row r="674">
          <cell r="L674">
            <v>5294</v>
          </cell>
          <cell r="M674">
            <v>-5294</v>
          </cell>
        </row>
        <row r="680">
          <cell r="P680">
            <v>553</v>
          </cell>
        </row>
        <row r="683">
          <cell r="I683">
            <v>4639</v>
          </cell>
        </row>
        <row r="693">
          <cell r="K693">
            <v>13931</v>
          </cell>
        </row>
        <row r="698">
          <cell r="I698">
            <v>5203</v>
          </cell>
          <cell r="P698">
            <v>800000</v>
          </cell>
        </row>
        <row r="711">
          <cell r="G711">
            <v>1638</v>
          </cell>
          <cell r="H711">
            <v>467</v>
          </cell>
          <cell r="I711">
            <v>9497</v>
          </cell>
        </row>
        <row r="712">
          <cell r="I712">
            <v>38</v>
          </cell>
        </row>
        <row r="716">
          <cell r="I716">
            <v>-300</v>
          </cell>
          <cell r="K716">
            <v>300</v>
          </cell>
        </row>
        <row r="719">
          <cell r="K719">
            <v>3150</v>
          </cell>
        </row>
        <row r="720">
          <cell r="I720">
            <v>-150</v>
          </cell>
          <cell r="K720">
            <v>150</v>
          </cell>
        </row>
        <row r="726">
          <cell r="K726">
            <v>-300</v>
          </cell>
          <cell r="N726">
            <v>100</v>
          </cell>
        </row>
        <row r="727">
          <cell r="I727">
            <v>-5812</v>
          </cell>
          <cell r="K727">
            <v>5600</v>
          </cell>
          <cell r="L727">
            <v>362</v>
          </cell>
        </row>
        <row r="733">
          <cell r="I733">
            <v>2000</v>
          </cell>
        </row>
        <row r="742">
          <cell r="K742">
            <v>322</v>
          </cell>
        </row>
        <row r="747">
          <cell r="L747">
            <v>-2000</v>
          </cell>
        </row>
        <row r="748">
          <cell r="N748">
            <v>4750</v>
          </cell>
        </row>
        <row r="749">
          <cell r="N749">
            <v>5965</v>
          </cell>
        </row>
        <row r="759">
          <cell r="K759">
            <v>-6707</v>
          </cell>
        </row>
        <row r="760">
          <cell r="K760">
            <v>-53</v>
          </cell>
        </row>
        <row r="761">
          <cell r="K761">
            <v>-36</v>
          </cell>
        </row>
        <row r="765">
          <cell r="M765">
            <v>-2246</v>
          </cell>
        </row>
        <row r="767">
          <cell r="L767">
            <v>-10000</v>
          </cell>
        </row>
        <row r="771">
          <cell r="G771">
            <v>28187</v>
          </cell>
          <cell r="H771">
            <v>5696</v>
          </cell>
          <cell r="I771">
            <v>1552190</v>
          </cell>
          <cell r="J771">
            <v>-5280</v>
          </cell>
          <cell r="K771">
            <v>45592</v>
          </cell>
          <cell r="L771">
            <v>-1500515</v>
          </cell>
          <cell r="M771">
            <v>132166</v>
          </cell>
          <cell r="N771">
            <v>42699</v>
          </cell>
          <cell r="O771">
            <v>0</v>
          </cell>
          <cell r="P771">
            <v>800553</v>
          </cell>
        </row>
      </sheetData>
      <sheetData sheetId="13">
        <row r="3">
          <cell r="K3">
            <v>3979</v>
          </cell>
        </row>
        <row r="4">
          <cell r="K4">
            <v>237</v>
          </cell>
        </row>
        <row r="5">
          <cell r="C5">
            <v>1300</v>
          </cell>
          <cell r="D5">
            <v>3200</v>
          </cell>
          <cell r="K5">
            <v>2987</v>
          </cell>
        </row>
        <row r="6">
          <cell r="K6">
            <v>555</v>
          </cell>
        </row>
        <row r="7">
          <cell r="K7">
            <v>11886</v>
          </cell>
        </row>
        <row r="8">
          <cell r="K8">
            <v>607</v>
          </cell>
        </row>
        <row r="9">
          <cell r="K9">
            <v>35</v>
          </cell>
        </row>
        <row r="10">
          <cell r="K10">
            <v>34</v>
          </cell>
        </row>
        <row r="11">
          <cell r="K11">
            <v>31</v>
          </cell>
        </row>
        <row r="12">
          <cell r="K12">
            <v>48</v>
          </cell>
        </row>
        <row r="13">
          <cell r="D13">
            <v>6900</v>
          </cell>
          <cell r="K13">
            <v>4140</v>
          </cell>
        </row>
        <row r="15">
          <cell r="K15">
            <v>6815</v>
          </cell>
        </row>
        <row r="16">
          <cell r="K16">
            <v>3125</v>
          </cell>
        </row>
        <row r="17">
          <cell r="K17">
            <v>6120</v>
          </cell>
        </row>
        <row r="18">
          <cell r="K18">
            <v>1014</v>
          </cell>
        </row>
        <row r="19">
          <cell r="F19">
            <v>10000</v>
          </cell>
          <cell r="K19">
            <v>9</v>
          </cell>
        </row>
        <row r="20">
          <cell r="K20">
            <v>5</v>
          </cell>
        </row>
        <row r="21">
          <cell r="C21">
            <v>1300</v>
          </cell>
          <cell r="D21">
            <v>10100</v>
          </cell>
          <cell r="E21">
            <v>0</v>
          </cell>
          <cell r="F21">
            <v>10000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</sheetData>
      <sheetData sheetId="14">
        <row r="3">
          <cell r="C3">
            <v>206</v>
          </cell>
          <cell r="D3">
            <v>41</v>
          </cell>
          <cell r="E3">
            <v>1436</v>
          </cell>
          <cell r="H3">
            <v>2296</v>
          </cell>
        </row>
        <row r="4">
          <cell r="C4">
            <v>168</v>
          </cell>
          <cell r="D4">
            <v>33</v>
          </cell>
          <cell r="E4">
            <v>36</v>
          </cell>
        </row>
        <row r="5">
          <cell r="C5">
            <v>2489</v>
          </cell>
          <cell r="D5">
            <v>484</v>
          </cell>
          <cell r="E5">
            <v>1314</v>
          </cell>
          <cell r="H5">
            <v>3200</v>
          </cell>
        </row>
        <row r="6">
          <cell r="C6">
            <v>464</v>
          </cell>
          <cell r="D6">
            <v>91</v>
          </cell>
        </row>
        <row r="7">
          <cell r="C7">
            <v>7939</v>
          </cell>
          <cell r="D7">
            <v>1547</v>
          </cell>
          <cell r="F7">
            <v>2400</v>
          </cell>
        </row>
        <row r="8">
          <cell r="C8">
            <v>6</v>
          </cell>
          <cell r="D8">
            <v>1</v>
          </cell>
          <cell r="H8">
            <v>600</v>
          </cell>
        </row>
        <row r="9">
          <cell r="C9">
            <v>30</v>
          </cell>
          <cell r="D9">
            <v>5</v>
          </cell>
        </row>
        <row r="10">
          <cell r="C10">
            <v>28</v>
          </cell>
          <cell r="D10">
            <v>6</v>
          </cell>
        </row>
        <row r="11">
          <cell r="C11">
            <v>26</v>
          </cell>
          <cell r="D11">
            <v>5</v>
          </cell>
        </row>
        <row r="12">
          <cell r="C12">
            <v>40</v>
          </cell>
          <cell r="D12">
            <v>8</v>
          </cell>
        </row>
        <row r="13">
          <cell r="C13">
            <v>2955</v>
          </cell>
          <cell r="D13">
            <v>576</v>
          </cell>
          <cell r="E13">
            <v>-2891</v>
          </cell>
          <cell r="H13">
            <v>2900</v>
          </cell>
          <cell r="I13">
            <v>7500</v>
          </cell>
        </row>
        <row r="15">
          <cell r="C15">
            <v>3539</v>
          </cell>
          <cell r="D15">
            <v>692</v>
          </cell>
          <cell r="I15">
            <v>2584</v>
          </cell>
        </row>
        <row r="16">
          <cell r="C16">
            <v>2615</v>
          </cell>
          <cell r="D16">
            <v>510</v>
          </cell>
        </row>
        <row r="17">
          <cell r="C17">
            <v>5122</v>
          </cell>
          <cell r="D17">
            <v>998</v>
          </cell>
        </row>
        <row r="18">
          <cell r="C18">
            <v>849</v>
          </cell>
          <cell r="D18">
            <v>165</v>
          </cell>
        </row>
        <row r="19">
          <cell r="C19">
            <v>7</v>
          </cell>
          <cell r="D19">
            <v>2</v>
          </cell>
          <cell r="E19">
            <v>10000</v>
          </cell>
        </row>
        <row r="20">
          <cell r="C20">
            <v>4</v>
          </cell>
          <cell r="D20">
            <v>1</v>
          </cell>
        </row>
        <row r="21">
          <cell r="C21">
            <v>26487</v>
          </cell>
          <cell r="D21">
            <v>5165</v>
          </cell>
          <cell r="E21">
            <v>9895</v>
          </cell>
          <cell r="F21">
            <v>2400</v>
          </cell>
          <cell r="G21">
            <v>0</v>
          </cell>
          <cell r="H21">
            <v>8996</v>
          </cell>
          <cell r="I21">
            <v>10084</v>
          </cell>
          <cell r="J21">
            <v>0</v>
          </cell>
          <cell r="K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7">
      <selection activeCell="I16" sqref="I16"/>
    </sheetView>
  </sheetViews>
  <sheetFormatPr defaultColWidth="9.00390625" defaultRowHeight="12.75"/>
  <cols>
    <col min="1" max="1" width="45.125" style="17" customWidth="1"/>
    <col min="2" max="2" width="13.00390625" style="17" customWidth="1"/>
    <col min="3" max="3" width="13.625" style="17" customWidth="1"/>
    <col min="4" max="4" width="12.625" style="4" customWidth="1"/>
    <col min="5" max="5" width="2.00390625" style="4" customWidth="1"/>
    <col min="6" max="6" width="44.875" style="17" customWidth="1"/>
    <col min="7" max="7" width="14.125" style="17" customWidth="1"/>
    <col min="8" max="8" width="13.875" style="17" customWidth="1"/>
    <col min="9" max="9" width="12.50390625" style="4" customWidth="1"/>
    <col min="10" max="16384" width="9.375" style="16" customWidth="1"/>
  </cols>
  <sheetData>
    <row r="1" spans="1:9" ht="39.75" customHeight="1" thickBot="1">
      <c r="A1" s="24"/>
      <c r="B1" s="26" t="s">
        <v>678</v>
      </c>
      <c r="C1" s="25" t="s">
        <v>750</v>
      </c>
      <c r="D1" s="26" t="s">
        <v>751</v>
      </c>
      <c r="E1" s="569"/>
      <c r="F1" s="24" t="s">
        <v>857</v>
      </c>
      <c r="G1" s="26" t="s">
        <v>678</v>
      </c>
      <c r="H1" s="25" t="s">
        <v>750</v>
      </c>
      <c r="I1" s="26" t="s">
        <v>751</v>
      </c>
    </row>
    <row r="2" spans="1:9" s="15" customFormat="1" ht="12.75" customHeight="1">
      <c r="A2" s="27" t="s">
        <v>1175</v>
      </c>
      <c r="B2" s="13"/>
      <c r="C2" s="28"/>
      <c r="D2" s="13"/>
      <c r="E2" s="570"/>
      <c r="F2" s="27" t="s">
        <v>1176</v>
      </c>
      <c r="G2" s="12"/>
      <c r="H2" s="27"/>
      <c r="I2" s="12"/>
    </row>
    <row r="3" spans="1:9" ht="24.75" customHeight="1">
      <c r="A3" s="29" t="s">
        <v>538</v>
      </c>
      <c r="B3" s="11">
        <v>3630793</v>
      </c>
      <c r="C3" s="29">
        <v>50083</v>
      </c>
      <c r="D3" s="11">
        <f>SUM(B3:C3)</f>
        <v>3680876</v>
      </c>
      <c r="E3" s="571"/>
      <c r="F3" s="29" t="s">
        <v>1270</v>
      </c>
      <c r="G3" s="11">
        <v>7057066</v>
      </c>
      <c r="H3" s="29">
        <v>43947</v>
      </c>
      <c r="I3" s="11">
        <f>SUM(G3:H3)</f>
        <v>7101013</v>
      </c>
    </row>
    <row r="4" spans="1:9" ht="15" customHeight="1">
      <c r="A4" s="29" t="s">
        <v>540</v>
      </c>
      <c r="B4" s="11">
        <v>5312000</v>
      </c>
      <c r="C4" s="29"/>
      <c r="D4" s="11">
        <f>SUM(B4:C4)</f>
        <v>5312000</v>
      </c>
      <c r="E4" s="571"/>
      <c r="F4" s="29" t="s">
        <v>1016</v>
      </c>
      <c r="G4" s="11">
        <v>5161211</v>
      </c>
      <c r="H4" s="29">
        <v>1536846</v>
      </c>
      <c r="I4" s="11">
        <f>SUM(G4:H4)</f>
        <v>6698057</v>
      </c>
    </row>
    <row r="5" spans="1:9" ht="22.5" customHeight="1">
      <c r="A5" s="29" t="s">
        <v>541</v>
      </c>
      <c r="B5" s="11">
        <v>2473872</v>
      </c>
      <c r="C5" s="29">
        <v>34758</v>
      </c>
      <c r="D5" s="11">
        <f>SUM(B5:C5)</f>
        <v>2508630</v>
      </c>
      <c r="E5" s="571"/>
      <c r="F5" s="29" t="s">
        <v>739</v>
      </c>
      <c r="G5" s="11">
        <v>1714996</v>
      </c>
      <c r="H5" s="29">
        <v>52388</v>
      </c>
      <c r="I5" s="11">
        <f>SUM(G5:H5)</f>
        <v>1767384</v>
      </c>
    </row>
    <row r="6" spans="1:9" ht="19.5" customHeight="1">
      <c r="A6" s="29" t="s">
        <v>544</v>
      </c>
      <c r="B6" s="11">
        <v>93949</v>
      </c>
      <c r="C6" s="29">
        <v>322</v>
      </c>
      <c r="D6" s="11">
        <f>SUM(B6:C6)</f>
        <v>94271</v>
      </c>
      <c r="E6" s="571"/>
      <c r="F6" s="29" t="s">
        <v>1178</v>
      </c>
      <c r="G6" s="11">
        <v>271028</v>
      </c>
      <c r="H6" s="29">
        <v>-6796</v>
      </c>
      <c r="I6" s="11">
        <f>SUM(G6:H6)</f>
        <v>264232</v>
      </c>
    </row>
    <row r="7" spans="1:9" ht="13.5" customHeight="1">
      <c r="A7" s="27" t="s">
        <v>677</v>
      </c>
      <c r="B7" s="27">
        <f>SUM(B3+B4+B5+B6)</f>
        <v>11510614</v>
      </c>
      <c r="C7" s="27">
        <f>SUM(C3+C4+C5+C6)</f>
        <v>85163</v>
      </c>
      <c r="D7" s="27">
        <f>SUM(D3+D4+D5+D6)</f>
        <v>11595777</v>
      </c>
      <c r="E7" s="571"/>
      <c r="F7" s="29" t="s">
        <v>194</v>
      </c>
      <c r="G7" s="11">
        <v>9000</v>
      </c>
      <c r="H7" s="29"/>
      <c r="I7" s="11">
        <f>SUM(G7:H7)</f>
        <v>9000</v>
      </c>
    </row>
    <row r="8" spans="1:9" ht="13.5" customHeight="1">
      <c r="A8" s="29" t="s">
        <v>535</v>
      </c>
      <c r="B8" s="27"/>
      <c r="C8" s="27"/>
      <c r="D8" s="27"/>
      <c r="E8" s="571"/>
      <c r="F8" s="27" t="s">
        <v>690</v>
      </c>
      <c r="G8" s="27">
        <f>SUM(G2:G7)</f>
        <v>14213301</v>
      </c>
      <c r="H8" s="27">
        <f>SUM(H2:H7)</f>
        <v>1626385</v>
      </c>
      <c r="I8" s="27">
        <f>SUM(I2:I7)</f>
        <v>15839686</v>
      </c>
    </row>
    <row r="9" spans="1:9" ht="24.75" customHeight="1">
      <c r="A9" s="29" t="s">
        <v>545</v>
      </c>
      <c r="B9" s="14">
        <v>2791148</v>
      </c>
      <c r="C9" s="29">
        <v>1541222</v>
      </c>
      <c r="D9" s="14">
        <f>SUM(B9:C9)</f>
        <v>4332370</v>
      </c>
      <c r="E9" s="571"/>
      <c r="F9" s="29" t="s">
        <v>845</v>
      </c>
      <c r="G9" s="29">
        <v>88461</v>
      </c>
      <c r="H9" s="29"/>
      <c r="I9" s="29">
        <f>SUM(G9:H9)</f>
        <v>88461</v>
      </c>
    </row>
    <row r="10" spans="1:9" s="15" customFormat="1" ht="24.75" customHeight="1">
      <c r="A10" s="29" t="s">
        <v>363</v>
      </c>
      <c r="B10" s="251"/>
      <c r="C10" s="572">
        <v>553</v>
      </c>
      <c r="D10" s="14">
        <f>SUM(B10:C10)</f>
        <v>553</v>
      </c>
      <c r="E10" s="571"/>
      <c r="F10" s="29" t="s">
        <v>112</v>
      </c>
      <c r="G10" s="11"/>
      <c r="H10" s="29">
        <v>553</v>
      </c>
      <c r="I10" s="29">
        <f>SUM(G10:H10)</f>
        <v>553</v>
      </c>
    </row>
    <row r="11" spans="1:9" s="15" customFormat="1" ht="12" customHeight="1">
      <c r="A11" s="36" t="s">
        <v>832</v>
      </c>
      <c r="B11" s="35">
        <f>SUM(B7:B10)</f>
        <v>14301762</v>
      </c>
      <c r="C11" s="35">
        <f>SUM(C7:C10)</f>
        <v>1626938</v>
      </c>
      <c r="D11" s="35">
        <f>SUM(D7:D10)</f>
        <v>15928700</v>
      </c>
      <c r="E11" s="571"/>
      <c r="F11" s="31" t="s">
        <v>1179</v>
      </c>
      <c r="G11" s="31">
        <f>SUM(G8:G9)</f>
        <v>14301762</v>
      </c>
      <c r="H11" s="31">
        <f>SUM(H8:H10)</f>
        <v>1626938</v>
      </c>
      <c r="I11" s="31">
        <f>SUM(I8:I10)</f>
        <v>15928700</v>
      </c>
    </row>
    <row r="12" spans="1:9" ht="13.5" customHeight="1">
      <c r="A12" s="27" t="s">
        <v>649</v>
      </c>
      <c r="B12" s="11"/>
      <c r="C12" s="27"/>
      <c r="D12" s="11"/>
      <c r="E12" s="571"/>
      <c r="F12" s="27" t="s">
        <v>648</v>
      </c>
      <c r="G12" s="27"/>
      <c r="H12" s="27"/>
      <c r="I12" s="27"/>
    </row>
    <row r="13" spans="1:9" ht="24" customHeight="1">
      <c r="A13" s="29" t="s">
        <v>539</v>
      </c>
      <c r="B13" s="11">
        <v>6296455</v>
      </c>
      <c r="C13" s="29">
        <v>10100</v>
      </c>
      <c r="D13" s="11">
        <f>SUM(B13:C13)</f>
        <v>6306555</v>
      </c>
      <c r="E13" s="571"/>
      <c r="F13" s="29" t="s">
        <v>546</v>
      </c>
      <c r="G13" s="29">
        <v>190576</v>
      </c>
      <c r="H13" s="29">
        <v>42699</v>
      </c>
      <c r="I13" s="29">
        <f aca="true" t="shared" si="0" ref="I13:I19">SUM(G13:H13)</f>
        <v>233275</v>
      </c>
    </row>
    <row r="14" spans="1:9" ht="19.5" customHeight="1">
      <c r="A14" s="29" t="s">
        <v>540</v>
      </c>
      <c r="B14" s="11">
        <v>102000</v>
      </c>
      <c r="C14" s="29"/>
      <c r="D14" s="11">
        <f>SUM(B14:C14)</f>
        <v>102000</v>
      </c>
      <c r="E14" s="571"/>
      <c r="F14" s="29" t="s">
        <v>650</v>
      </c>
      <c r="G14" s="11">
        <v>22377674</v>
      </c>
      <c r="H14" s="29">
        <v>-1490515</v>
      </c>
      <c r="I14" s="29">
        <f t="shared" si="0"/>
        <v>20887159</v>
      </c>
    </row>
    <row r="15" spans="1:9" ht="15" customHeight="1">
      <c r="A15" s="29" t="s">
        <v>542</v>
      </c>
      <c r="B15" s="14">
        <v>226720</v>
      </c>
      <c r="C15" s="29"/>
      <c r="D15" s="11">
        <f>SUM(B15:C15)</f>
        <v>226720</v>
      </c>
      <c r="E15" s="571"/>
      <c r="F15" s="29" t="s">
        <v>221</v>
      </c>
      <c r="G15" s="14">
        <v>91455</v>
      </c>
      <c r="H15" s="29">
        <v>8996</v>
      </c>
      <c r="I15" s="29">
        <f t="shared" si="0"/>
        <v>100451</v>
      </c>
    </row>
    <row r="16" spans="1:9" ht="24.75" customHeight="1">
      <c r="A16" s="29" t="s">
        <v>543</v>
      </c>
      <c r="B16" s="14">
        <v>5000</v>
      </c>
      <c r="C16" s="29">
        <v>194524</v>
      </c>
      <c r="D16" s="11">
        <f>SUM(B16:C16)</f>
        <v>199524</v>
      </c>
      <c r="E16" s="571"/>
      <c r="F16" s="29" t="s">
        <v>651</v>
      </c>
      <c r="G16" s="11">
        <v>4059149</v>
      </c>
      <c r="H16" s="29">
        <v>134412</v>
      </c>
      <c r="I16" s="29">
        <f t="shared" si="0"/>
        <v>4193561</v>
      </c>
    </row>
    <row r="17" spans="1:9" ht="24" customHeight="1">
      <c r="A17" s="29" t="s">
        <v>211</v>
      </c>
      <c r="B17" s="14">
        <v>3770924</v>
      </c>
      <c r="C17" s="29">
        <v>21820</v>
      </c>
      <c r="D17" s="11">
        <f>SUM(B17:C17)</f>
        <v>3792744</v>
      </c>
      <c r="E17" s="570"/>
      <c r="F17" s="29" t="s">
        <v>221</v>
      </c>
      <c r="G17" s="11">
        <v>11916</v>
      </c>
      <c r="H17" s="29">
        <v>10084</v>
      </c>
      <c r="I17" s="29">
        <f t="shared" si="0"/>
        <v>22000</v>
      </c>
    </row>
    <row r="18" spans="1:9" ht="12.75" customHeight="1">
      <c r="A18" s="27" t="s">
        <v>687</v>
      </c>
      <c r="B18" s="27">
        <f>SUM(B12:B17)</f>
        <v>10401099</v>
      </c>
      <c r="C18" s="27">
        <f>SUM(C12:C17)</f>
        <v>226444</v>
      </c>
      <c r="D18" s="27">
        <f>SUM(D12:D17)</f>
        <v>10627543</v>
      </c>
      <c r="E18" s="570"/>
      <c r="F18" s="29" t="s">
        <v>652</v>
      </c>
      <c r="G18" s="11">
        <v>32185</v>
      </c>
      <c r="H18" s="29">
        <v>-12246</v>
      </c>
      <c r="I18" s="29">
        <f t="shared" si="0"/>
        <v>19939</v>
      </c>
    </row>
    <row r="19" spans="1:9" ht="24" customHeight="1">
      <c r="A19" s="29" t="s">
        <v>535</v>
      </c>
      <c r="B19" s="27"/>
      <c r="C19" s="27"/>
      <c r="D19" s="27"/>
      <c r="E19" s="571"/>
      <c r="F19" s="29" t="s">
        <v>548</v>
      </c>
      <c r="G19" s="11">
        <v>23908</v>
      </c>
      <c r="H19" s="29"/>
      <c r="I19" s="29">
        <f t="shared" si="0"/>
        <v>23908</v>
      </c>
    </row>
    <row r="20" spans="1:9" ht="12.75" customHeight="1">
      <c r="A20" s="29" t="s">
        <v>740</v>
      </c>
      <c r="B20" s="29">
        <v>190999</v>
      </c>
      <c r="C20" s="29"/>
      <c r="D20" s="29">
        <f>SUM(B20:C20)</f>
        <v>190999</v>
      </c>
      <c r="E20" s="571"/>
      <c r="F20" s="27" t="s">
        <v>688</v>
      </c>
      <c r="G20" s="27">
        <f>SUM(G13+G14+G16+G18+G19)</f>
        <v>26683492</v>
      </c>
      <c r="H20" s="27">
        <f>SUM(H13+H14+H16+H18+H19)</f>
        <v>-1325650</v>
      </c>
      <c r="I20" s="27">
        <f>SUM(I13+I14+I16+I18+I19)</f>
        <v>25357842</v>
      </c>
    </row>
    <row r="21" spans="1:9" ht="24.75" customHeight="1">
      <c r="A21" s="29" t="s">
        <v>741</v>
      </c>
      <c r="B21" s="14">
        <v>6736171</v>
      </c>
      <c r="C21" s="29">
        <v>-1548127</v>
      </c>
      <c r="D21" s="29">
        <f>SUM(B21:C21)</f>
        <v>5188044</v>
      </c>
      <c r="E21" s="571"/>
      <c r="F21" s="29" t="s">
        <v>547</v>
      </c>
      <c r="G21" s="11"/>
      <c r="H21" s="27"/>
      <c r="I21" s="11"/>
    </row>
    <row r="22" spans="1:9" ht="12.75" customHeight="1">
      <c r="A22" s="573" t="s">
        <v>1276</v>
      </c>
      <c r="B22" s="29">
        <v>9454275</v>
      </c>
      <c r="C22" s="29">
        <v>-3967</v>
      </c>
      <c r="D22" s="29">
        <f>SUM(B22:C22)</f>
        <v>9450308</v>
      </c>
      <c r="E22" s="571"/>
      <c r="F22" s="29" t="s">
        <v>670</v>
      </c>
      <c r="G22" s="11">
        <v>74052</v>
      </c>
      <c r="H22" s="29"/>
      <c r="I22" s="11">
        <f>SUM(G22:H22)</f>
        <v>74052</v>
      </c>
    </row>
    <row r="23" spans="1:9" ht="12.75" customHeight="1">
      <c r="A23" s="29"/>
      <c r="B23" s="29"/>
      <c r="C23" s="29"/>
      <c r="D23" s="29"/>
      <c r="E23" s="571"/>
      <c r="F23" s="29" t="s">
        <v>669</v>
      </c>
      <c r="G23" s="11">
        <v>25000</v>
      </c>
      <c r="H23" s="29"/>
      <c r="I23" s="11">
        <f>SUM(G23:H23)</f>
        <v>25000</v>
      </c>
    </row>
    <row r="24" spans="1:9" ht="22.5" customHeight="1" thickBot="1">
      <c r="A24" s="96" t="s">
        <v>653</v>
      </c>
      <c r="B24" s="97">
        <f>SUM(B18:B23)</f>
        <v>26782544</v>
      </c>
      <c r="C24" s="97">
        <f>SUM(C18:C23)</f>
        <v>-1325650</v>
      </c>
      <c r="D24" s="97">
        <f>SUM(D18:D23)</f>
        <v>25456894</v>
      </c>
      <c r="E24" s="570"/>
      <c r="F24" s="98" t="s">
        <v>654</v>
      </c>
      <c r="G24" s="97">
        <f>SUM(G20:G23)</f>
        <v>26782544</v>
      </c>
      <c r="H24" s="97">
        <f>SUM(H20:H23)</f>
        <v>-1325650</v>
      </c>
      <c r="I24" s="97">
        <f>SUM(I20:I23)</f>
        <v>25456894</v>
      </c>
    </row>
    <row r="25" spans="1:9" ht="22.5" customHeight="1" thickBot="1">
      <c r="A25" s="32" t="s">
        <v>1269</v>
      </c>
      <c r="B25" s="34">
        <f>SUM(B11+B24)</f>
        <v>41084306</v>
      </c>
      <c r="C25" s="34">
        <f>SUM(C11+C24)</f>
        <v>301288</v>
      </c>
      <c r="D25" s="34">
        <f>SUM(D11+D24)</f>
        <v>41385594</v>
      </c>
      <c r="E25" s="570"/>
      <c r="F25" s="32" t="s">
        <v>1269</v>
      </c>
      <c r="G25" s="33">
        <f>SUM(G11+G24)</f>
        <v>41084306</v>
      </c>
      <c r="H25" s="33">
        <f>SUM(H11+H24)</f>
        <v>301288</v>
      </c>
      <c r="I25" s="33">
        <f>SUM(I11+I24)</f>
        <v>41385594</v>
      </c>
    </row>
    <row r="26" spans="1:9" ht="22.5" customHeight="1">
      <c r="A26" s="29" t="s">
        <v>109</v>
      </c>
      <c r="B26" s="11">
        <v>2000000</v>
      </c>
      <c r="C26" s="29">
        <v>800000</v>
      </c>
      <c r="D26" s="11">
        <f>SUM(B26:C26)</f>
        <v>2800000</v>
      </c>
      <c r="E26" s="571"/>
      <c r="F26" s="29" t="s">
        <v>110</v>
      </c>
      <c r="G26" s="11">
        <v>2000000</v>
      </c>
      <c r="H26" s="29">
        <v>800000</v>
      </c>
      <c r="I26" s="11">
        <f>SUM(G26:H26)</f>
        <v>2800000</v>
      </c>
    </row>
    <row r="27" spans="1:9" ht="19.5" customHeight="1">
      <c r="A27" s="31" t="s">
        <v>111</v>
      </c>
      <c r="B27" s="69">
        <f>SUM(B25:B26)</f>
        <v>43084306</v>
      </c>
      <c r="C27" s="31">
        <f>SUM(C25:C26)</f>
        <v>1101288</v>
      </c>
      <c r="D27" s="69">
        <f>SUM(D25:D26)</f>
        <v>44185594</v>
      </c>
      <c r="E27" s="571"/>
      <c r="F27" s="31" t="s">
        <v>111</v>
      </c>
      <c r="G27" s="31">
        <f>SUM(G25:G26)</f>
        <v>43084306</v>
      </c>
      <c r="H27" s="31">
        <f>SUM(H25:H26)</f>
        <v>1101288</v>
      </c>
      <c r="I27" s="31">
        <f>SUM(I25:I26)</f>
        <v>44185594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2019. 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110" zoomScaleNormal="110" workbookViewId="0" topLeftCell="A1">
      <pane ySplit="2" topLeftCell="BM3" activePane="bottomLeft" state="frozen"/>
      <selection pane="topLeft" activeCell="B1" sqref="B1"/>
      <selection pane="bottomLeft" activeCell="I20" sqref="I20"/>
    </sheetView>
  </sheetViews>
  <sheetFormatPr defaultColWidth="9.00390625" defaultRowHeight="12.75"/>
  <cols>
    <col min="1" max="1" width="3.875" style="16" customWidth="1"/>
    <col min="2" max="2" width="38.375" style="16" customWidth="1"/>
    <col min="3" max="3" width="10.00390625" style="16" customWidth="1"/>
    <col min="4" max="4" width="11.875" style="16" customWidth="1"/>
    <col min="5" max="5" width="9.875" style="16" customWidth="1"/>
    <col min="6" max="7" width="10.50390625" style="16" customWidth="1"/>
    <col min="8" max="8" width="11.125" style="16" customWidth="1"/>
    <col min="9" max="9" width="11.875" style="16" customWidth="1"/>
    <col min="10" max="10" width="9.50390625" style="16" customWidth="1"/>
    <col min="11" max="11" width="8.125" style="16" customWidth="1"/>
    <col min="12" max="12" width="10.875" style="16" customWidth="1"/>
    <col min="13" max="16384" width="9.375" style="16" customWidth="1"/>
  </cols>
  <sheetData>
    <row r="1" spans="1:12" ht="12.75" customHeight="1">
      <c r="A1" s="538" t="s">
        <v>574</v>
      </c>
      <c r="B1" s="538" t="s">
        <v>857</v>
      </c>
      <c r="C1" s="537" t="s">
        <v>869</v>
      </c>
      <c r="D1" s="537"/>
      <c r="E1" s="537"/>
      <c r="F1" s="537"/>
      <c r="G1" s="537"/>
      <c r="H1" s="537"/>
      <c r="I1" s="537"/>
      <c r="J1" s="537"/>
      <c r="K1" s="538" t="s">
        <v>868</v>
      </c>
      <c r="L1" s="538" t="s">
        <v>1183</v>
      </c>
    </row>
    <row r="2" spans="1:12" s="37" customFormat="1" ht="60" customHeight="1">
      <c r="A2" s="538"/>
      <c r="B2" s="538"/>
      <c r="C2" s="109" t="s">
        <v>673</v>
      </c>
      <c r="D2" s="109" t="s">
        <v>1248</v>
      </c>
      <c r="E2" s="109" t="s">
        <v>1240</v>
      </c>
      <c r="F2" s="109" t="s">
        <v>355</v>
      </c>
      <c r="G2" s="109" t="s">
        <v>432</v>
      </c>
      <c r="H2" s="109" t="s">
        <v>419</v>
      </c>
      <c r="I2" s="109" t="s">
        <v>418</v>
      </c>
      <c r="J2" s="109" t="s">
        <v>356</v>
      </c>
      <c r="K2" s="550"/>
      <c r="L2" s="538"/>
    </row>
    <row r="3" spans="1:12" s="37" customFormat="1" ht="15" customHeight="1">
      <c r="A3" s="802" t="s">
        <v>576</v>
      </c>
      <c r="B3" s="803" t="s">
        <v>860</v>
      </c>
      <c r="C3" s="804">
        <f>1022681+'[1]táj.4'!C3</f>
        <v>1022887</v>
      </c>
      <c r="D3" s="804">
        <f>212527+'[1]táj.4'!D3</f>
        <v>212568</v>
      </c>
      <c r="E3" s="804">
        <f>198450+'[1]táj.4'!E3</f>
        <v>199886</v>
      </c>
      <c r="F3" s="804">
        <f>0+'[1]táj.4'!F3</f>
        <v>0</v>
      </c>
      <c r="G3" s="804">
        <f>0+'[1]táj.4'!G3</f>
        <v>0</v>
      </c>
      <c r="H3" s="804">
        <f>9690+'[1]táj.4'!H3</f>
        <v>11986</v>
      </c>
      <c r="I3" s="804">
        <f>10000+'[1]táj.4'!I3</f>
        <v>10000</v>
      </c>
      <c r="J3" s="804">
        <f>0+'[1]táj.4'!J3</f>
        <v>0</v>
      </c>
      <c r="K3" s="804">
        <f>0+'[1]táj.4'!K3</f>
        <v>0</v>
      </c>
      <c r="L3" s="804">
        <f aca="true" t="shared" si="0" ref="L3:L20">SUM(C3:K3)</f>
        <v>1457327</v>
      </c>
    </row>
    <row r="4" spans="1:12" s="37" customFormat="1" ht="15" customHeight="1">
      <c r="A4" s="802" t="s">
        <v>578</v>
      </c>
      <c r="B4" s="803" t="s">
        <v>803</v>
      </c>
      <c r="C4" s="804">
        <f>129521+'[1]táj.4'!C4</f>
        <v>129689</v>
      </c>
      <c r="D4" s="804">
        <f>26992+'[1]táj.4'!D4</f>
        <v>27025</v>
      </c>
      <c r="E4" s="804">
        <f>767832+'[1]táj.4'!E4</f>
        <v>767868</v>
      </c>
      <c r="F4" s="804">
        <f>0+'[1]táj.4'!F4</f>
        <v>0</v>
      </c>
      <c r="G4" s="804">
        <f>300+'[1]táj.4'!G4</f>
        <v>300</v>
      </c>
      <c r="H4" s="804">
        <f>2230+'[1]táj.4'!H4</f>
        <v>2230</v>
      </c>
      <c r="I4" s="804">
        <f>0+'[1]táj.4'!I4</f>
        <v>0</v>
      </c>
      <c r="J4" s="804">
        <f>0+'[1]táj.4'!J4</f>
        <v>0</v>
      </c>
      <c r="K4" s="804">
        <f>0+'[1]táj.4'!K4</f>
        <v>0</v>
      </c>
      <c r="L4" s="804">
        <f t="shared" si="0"/>
        <v>927112</v>
      </c>
    </row>
    <row r="5" spans="1:12" s="37" customFormat="1" ht="15" customHeight="1">
      <c r="A5" s="802" t="s">
        <v>579</v>
      </c>
      <c r="B5" s="803" t="s">
        <v>991</v>
      </c>
      <c r="C5" s="804">
        <f>364641+'[1]táj.4'!C5</f>
        <v>367130</v>
      </c>
      <c r="D5" s="804">
        <f>76478+'[1]táj.4'!D5</f>
        <v>76962</v>
      </c>
      <c r="E5" s="804">
        <f>126519+'[1]táj.4'!E5</f>
        <v>127833</v>
      </c>
      <c r="F5" s="804">
        <f>0+'[1]táj.4'!F5</f>
        <v>0</v>
      </c>
      <c r="G5" s="804">
        <f>200+'[1]táj.4'!G5</f>
        <v>200</v>
      </c>
      <c r="H5" s="804">
        <f>1457+'[1]táj.4'!H5</f>
        <v>4657</v>
      </c>
      <c r="I5" s="804">
        <f>0+'[1]táj.4'!I5</f>
        <v>0</v>
      </c>
      <c r="J5" s="804">
        <f>0+'[1]táj.4'!J5</f>
        <v>0</v>
      </c>
      <c r="K5" s="804">
        <f>0+'[1]táj.4'!K5</f>
        <v>0</v>
      </c>
      <c r="L5" s="804">
        <f t="shared" si="0"/>
        <v>576782</v>
      </c>
    </row>
    <row r="6" spans="1:12" s="37" customFormat="1" ht="23.25" customHeight="1">
      <c r="A6" s="802" t="s">
        <v>554</v>
      </c>
      <c r="B6" s="374" t="s">
        <v>1203</v>
      </c>
      <c r="C6" s="804">
        <f>198244+'[1]táj.4'!C6</f>
        <v>198708</v>
      </c>
      <c r="D6" s="804">
        <f>38954+'[1]táj.4'!D6</f>
        <v>39045</v>
      </c>
      <c r="E6" s="804">
        <f>134913+'[1]táj.4'!E6</f>
        <v>134913</v>
      </c>
      <c r="F6" s="804">
        <f>0+'[1]táj.4'!F6</f>
        <v>0</v>
      </c>
      <c r="G6" s="804">
        <f>0+'[1]táj.4'!G6</f>
        <v>0</v>
      </c>
      <c r="H6" s="804">
        <f>2244+'[1]táj.4'!H6</f>
        <v>2244</v>
      </c>
      <c r="I6" s="804">
        <f>0+'[1]táj.4'!I6</f>
        <v>0</v>
      </c>
      <c r="J6" s="804">
        <f>0+'[1]táj.4'!J6</f>
        <v>0</v>
      </c>
      <c r="K6" s="804">
        <f>0+'[1]táj.4'!K6</f>
        <v>0</v>
      </c>
      <c r="L6" s="804">
        <f t="shared" si="0"/>
        <v>374910</v>
      </c>
    </row>
    <row r="7" spans="1:12" s="37" customFormat="1" ht="26.25" customHeight="1">
      <c r="A7" s="802" t="s">
        <v>553</v>
      </c>
      <c r="B7" s="374" t="s">
        <v>1204</v>
      </c>
      <c r="C7" s="804">
        <f>119775+'[1]táj.4'!C7</f>
        <v>127714</v>
      </c>
      <c r="D7" s="804">
        <f>25273+'[1]táj.4'!D7</f>
        <v>26820</v>
      </c>
      <c r="E7" s="804">
        <f>27136+'[1]táj.4'!E7</f>
        <v>27136</v>
      </c>
      <c r="F7" s="804">
        <f>1000+'[1]táj.4'!F7</f>
        <v>3400</v>
      </c>
      <c r="G7" s="804">
        <f>0+'[1]táj.4'!G7</f>
        <v>0</v>
      </c>
      <c r="H7" s="804">
        <f>851+'[1]táj.4'!H7</f>
        <v>851</v>
      </c>
      <c r="I7" s="804">
        <f>0+'[1]táj.4'!I7</f>
        <v>0</v>
      </c>
      <c r="J7" s="804">
        <f>0+'[1]táj.4'!J7</f>
        <v>0</v>
      </c>
      <c r="K7" s="804">
        <f>0+'[1]táj.4'!K7</f>
        <v>0</v>
      </c>
      <c r="L7" s="804">
        <f t="shared" si="0"/>
        <v>185921</v>
      </c>
    </row>
    <row r="8" spans="1:12" s="37" customFormat="1" ht="15" customHeight="1">
      <c r="A8" s="802" t="s">
        <v>555</v>
      </c>
      <c r="B8" s="161" t="s">
        <v>992</v>
      </c>
      <c r="C8" s="804">
        <f>241988+'[1]táj.4'!C8</f>
        <v>241994</v>
      </c>
      <c r="D8" s="804">
        <f>49317+'[1]táj.4'!D8</f>
        <v>49318</v>
      </c>
      <c r="E8" s="804">
        <f>53324+'[1]táj.4'!E8</f>
        <v>53324</v>
      </c>
      <c r="F8" s="804">
        <f>0+'[1]táj.4'!F8</f>
        <v>0</v>
      </c>
      <c r="G8" s="804">
        <f>100+'[1]táj.4'!G8</f>
        <v>100</v>
      </c>
      <c r="H8" s="804">
        <f>500+'[1]táj.4'!H8</f>
        <v>1100</v>
      </c>
      <c r="I8" s="804">
        <f>0+'[1]táj.4'!I8</f>
        <v>0</v>
      </c>
      <c r="J8" s="804">
        <f>0+'[1]táj.4'!J8</f>
        <v>0</v>
      </c>
      <c r="K8" s="804">
        <f>0+'[1]táj.4'!K8</f>
        <v>0</v>
      </c>
      <c r="L8" s="804">
        <f t="shared" si="0"/>
        <v>345836</v>
      </c>
    </row>
    <row r="9" spans="1:12" s="37" customFormat="1" ht="15" customHeight="1">
      <c r="A9" s="802" t="s">
        <v>557</v>
      </c>
      <c r="B9" s="161" t="s">
        <v>1005</v>
      </c>
      <c r="C9" s="804">
        <f>195255+'[1]táj.4'!C9</f>
        <v>195285</v>
      </c>
      <c r="D9" s="804">
        <f>40088+'[1]táj.4'!D9</f>
        <v>40093</v>
      </c>
      <c r="E9" s="804">
        <f>80424+'[1]táj.4'!E9</f>
        <v>80424</v>
      </c>
      <c r="F9" s="804">
        <f>0+'[1]táj.4'!F9</f>
        <v>0</v>
      </c>
      <c r="G9" s="804">
        <f>100+'[1]táj.4'!G9</f>
        <v>100</v>
      </c>
      <c r="H9" s="804">
        <f>500+'[1]táj.4'!H9</f>
        <v>500</v>
      </c>
      <c r="I9" s="804">
        <f>0+'[1]táj.4'!I9</f>
        <v>0</v>
      </c>
      <c r="J9" s="804">
        <f>0+'[1]táj.4'!J9</f>
        <v>0</v>
      </c>
      <c r="K9" s="804">
        <f>0+'[1]táj.4'!K9</f>
        <v>0</v>
      </c>
      <c r="L9" s="804">
        <f t="shared" si="0"/>
        <v>316402</v>
      </c>
    </row>
    <row r="10" spans="1:12" s="23" customFormat="1" ht="15" customHeight="1">
      <c r="A10" s="802" t="s">
        <v>559</v>
      </c>
      <c r="B10" s="161" t="s">
        <v>1006</v>
      </c>
      <c r="C10" s="804">
        <f>221192+'[1]táj.4'!C10</f>
        <v>221220</v>
      </c>
      <c r="D10" s="804">
        <f>45652+'[1]táj.4'!D10</f>
        <v>45658</v>
      </c>
      <c r="E10" s="804">
        <f>86068+'[1]táj.4'!E10</f>
        <v>86068</v>
      </c>
      <c r="F10" s="804">
        <f>0+'[1]táj.4'!F10</f>
        <v>0</v>
      </c>
      <c r="G10" s="804">
        <f>100+'[1]táj.4'!G10</f>
        <v>100</v>
      </c>
      <c r="H10" s="804">
        <f>500+'[1]táj.4'!H10</f>
        <v>500</v>
      </c>
      <c r="I10" s="804">
        <f>0+'[1]táj.4'!I10</f>
        <v>0</v>
      </c>
      <c r="J10" s="804">
        <f>0+'[1]táj.4'!J10</f>
        <v>0</v>
      </c>
      <c r="K10" s="804">
        <f>0+'[1]táj.4'!K10</f>
        <v>0</v>
      </c>
      <c r="L10" s="804">
        <f t="shared" si="0"/>
        <v>353546</v>
      </c>
    </row>
    <row r="11" spans="1:12" s="23" customFormat="1" ht="17.25" customHeight="1">
      <c r="A11" s="802" t="s">
        <v>420</v>
      </c>
      <c r="B11" s="161" t="s">
        <v>1007</v>
      </c>
      <c r="C11" s="804">
        <f>215492+'[1]táj.4'!C11</f>
        <v>215518</v>
      </c>
      <c r="D11" s="804">
        <f>45035+'[1]táj.4'!D11</f>
        <v>45040</v>
      </c>
      <c r="E11" s="804">
        <f>62649+'[1]táj.4'!E11</f>
        <v>62649</v>
      </c>
      <c r="F11" s="804">
        <f>0+'[1]táj.4'!F11</f>
        <v>0</v>
      </c>
      <c r="G11" s="804">
        <f>100+'[1]táj.4'!G11</f>
        <v>100</v>
      </c>
      <c r="H11" s="804">
        <f>500+'[1]táj.4'!H11</f>
        <v>500</v>
      </c>
      <c r="I11" s="804">
        <f>0+'[1]táj.4'!I11</f>
        <v>0</v>
      </c>
      <c r="J11" s="804">
        <f>0+'[1]táj.4'!J11</f>
        <v>0</v>
      </c>
      <c r="K11" s="804">
        <f>0+'[1]táj.4'!K11</f>
        <v>0</v>
      </c>
      <c r="L11" s="804">
        <f t="shared" si="0"/>
        <v>323807</v>
      </c>
    </row>
    <row r="12" spans="1:12" s="23" customFormat="1" ht="18.75" customHeight="1">
      <c r="A12" s="802" t="s">
        <v>421</v>
      </c>
      <c r="B12" s="161" t="s">
        <v>1205</v>
      </c>
      <c r="C12" s="804">
        <f>39910+'[1]táj.4'!C12</f>
        <v>39950</v>
      </c>
      <c r="D12" s="804">
        <f>7671+'[1]táj.4'!D12</f>
        <v>7679</v>
      </c>
      <c r="E12" s="804">
        <f>2383+'[1]táj.4'!E12</f>
        <v>2383</v>
      </c>
      <c r="F12" s="804">
        <f>0+'[1]táj.4'!F12</f>
        <v>0</v>
      </c>
      <c r="G12" s="804">
        <f>0+'[1]táj.4'!G12</f>
        <v>0</v>
      </c>
      <c r="H12" s="804">
        <f>200+'[1]táj.4'!H12</f>
        <v>200</v>
      </c>
      <c r="I12" s="804">
        <f>0+'[1]táj.4'!I12</f>
        <v>0</v>
      </c>
      <c r="J12" s="804">
        <f>0+'[1]táj.4'!J12</f>
        <v>0</v>
      </c>
      <c r="K12" s="804">
        <f>0+'[1]táj.4'!K12</f>
        <v>0</v>
      </c>
      <c r="L12" s="804">
        <f t="shared" si="0"/>
        <v>50212</v>
      </c>
    </row>
    <row r="13" spans="1:12" s="23" customFormat="1" ht="13.5" customHeight="1">
      <c r="A13" s="802" t="s">
        <v>422</v>
      </c>
      <c r="B13" s="801" t="s">
        <v>988</v>
      </c>
      <c r="C13" s="804">
        <f>165750+'[1]táj.4'!C13</f>
        <v>168705</v>
      </c>
      <c r="D13" s="804">
        <f>31294+'[1]táj.4'!D13</f>
        <v>31870</v>
      </c>
      <c r="E13" s="804">
        <f>154692+'[1]táj.4'!E13</f>
        <v>151801</v>
      </c>
      <c r="F13" s="804">
        <f>0+'[1]táj.4'!F13</f>
        <v>0</v>
      </c>
      <c r="G13" s="804">
        <f>8000+'[1]táj.4'!G13</f>
        <v>8000</v>
      </c>
      <c r="H13" s="804">
        <f>5000+'[1]táj.4'!H13</f>
        <v>7900</v>
      </c>
      <c r="I13" s="804">
        <f>0+'[1]táj.4'!I13</f>
        <v>7500</v>
      </c>
      <c r="J13" s="804">
        <f>0+'[1]táj.4'!J13</f>
        <v>0</v>
      </c>
      <c r="K13" s="804">
        <f>0+'[1]táj.4'!K13</f>
        <v>0</v>
      </c>
      <c r="L13" s="804">
        <f t="shared" si="0"/>
        <v>375776</v>
      </c>
    </row>
    <row r="14" spans="1:12" s="23" customFormat="1" ht="24.75" customHeight="1">
      <c r="A14" s="802" t="s">
        <v>423</v>
      </c>
      <c r="B14" s="374" t="s">
        <v>1008</v>
      </c>
      <c r="C14" s="804">
        <f>14117+'[1]táj.4'!C14</f>
        <v>14117</v>
      </c>
      <c r="D14" s="804">
        <f>2730+'[1]táj.4'!D14</f>
        <v>2730</v>
      </c>
      <c r="E14" s="804">
        <f>3054+'[1]táj.4'!E14</f>
        <v>3054</v>
      </c>
      <c r="F14" s="804">
        <f>0+'[1]táj.4'!F14</f>
        <v>0</v>
      </c>
      <c r="G14" s="804">
        <f>0+'[1]táj.4'!G14</f>
        <v>0</v>
      </c>
      <c r="H14" s="804">
        <f>80+'[1]táj.4'!H14</f>
        <v>80</v>
      </c>
      <c r="I14" s="804">
        <f>0+'[1]táj.4'!I14</f>
        <v>0</v>
      </c>
      <c r="J14" s="804">
        <f>0+'[1]táj.4'!J14</f>
        <v>0</v>
      </c>
      <c r="K14" s="804">
        <f>0+'[1]táj.4'!K14</f>
        <v>0</v>
      </c>
      <c r="L14" s="804">
        <f t="shared" si="0"/>
        <v>19981</v>
      </c>
    </row>
    <row r="15" spans="1:12" s="23" customFormat="1" ht="13.5" customHeight="1">
      <c r="A15" s="802" t="s">
        <v>424</v>
      </c>
      <c r="B15" s="161" t="s">
        <v>989</v>
      </c>
      <c r="C15" s="804">
        <f>174811+'[1]táj.4'!C15</f>
        <v>178350</v>
      </c>
      <c r="D15" s="804">
        <f>32583+'[1]táj.4'!D15</f>
        <v>33275</v>
      </c>
      <c r="E15" s="804">
        <f>170299+'[1]táj.4'!E15</f>
        <v>170299</v>
      </c>
      <c r="F15" s="804">
        <f>0+'[1]táj.4'!F15</f>
        <v>0</v>
      </c>
      <c r="G15" s="804">
        <f>19000+'[1]táj.4'!G15</f>
        <v>19000</v>
      </c>
      <c r="H15" s="804">
        <f>39000+'[1]táj.4'!H15</f>
        <v>39000</v>
      </c>
      <c r="I15" s="804">
        <f>900+'[1]táj.4'!I15</f>
        <v>3484</v>
      </c>
      <c r="J15" s="804">
        <f>0+'[1]táj.4'!J15</f>
        <v>0</v>
      </c>
      <c r="K15" s="804">
        <f>0+'[1]táj.4'!K15</f>
        <v>0</v>
      </c>
      <c r="L15" s="804">
        <f t="shared" si="0"/>
        <v>443408</v>
      </c>
    </row>
    <row r="16" spans="1:12" s="23" customFormat="1" ht="13.5" customHeight="1">
      <c r="A16" s="802" t="s">
        <v>425</v>
      </c>
      <c r="B16" s="161" t="s">
        <v>990</v>
      </c>
      <c r="C16" s="804">
        <f>154783+'[1]táj.4'!C16</f>
        <v>157398</v>
      </c>
      <c r="D16" s="804">
        <f>31021+'[1]táj.4'!D16</f>
        <v>31531</v>
      </c>
      <c r="E16" s="804">
        <f>133433+'[1]táj.4'!E16</f>
        <v>133433</v>
      </c>
      <c r="F16" s="804">
        <f>0+'[1]táj.4'!F16</f>
        <v>0</v>
      </c>
      <c r="G16" s="804">
        <f>35403+'[1]táj.4'!G16</f>
        <v>35403</v>
      </c>
      <c r="H16" s="804">
        <f>20699+'[1]táj.4'!H16</f>
        <v>20699</v>
      </c>
      <c r="I16" s="804">
        <f>0+'[1]táj.4'!I16</f>
        <v>0</v>
      </c>
      <c r="J16" s="804">
        <f>0+'[1]táj.4'!J16</f>
        <v>0</v>
      </c>
      <c r="K16" s="804">
        <f>0+'[1]táj.4'!K16</f>
        <v>0</v>
      </c>
      <c r="L16" s="804">
        <f t="shared" si="0"/>
        <v>378464</v>
      </c>
    </row>
    <row r="17" spans="1:12" s="23" customFormat="1" ht="12.75" customHeight="1">
      <c r="A17" s="802" t="s">
        <v>563</v>
      </c>
      <c r="B17" s="161" t="s">
        <v>1009</v>
      </c>
      <c r="C17" s="804">
        <f>395109+'[1]táj.4'!C17</f>
        <v>400231</v>
      </c>
      <c r="D17" s="804">
        <f>84251+'[1]táj.4'!D17</f>
        <v>85249</v>
      </c>
      <c r="E17" s="804">
        <f>229683+'[1]táj.4'!E17</f>
        <v>229683</v>
      </c>
      <c r="F17" s="804">
        <f>0+'[1]táj.4'!F17</f>
        <v>0</v>
      </c>
      <c r="G17" s="804">
        <f>0+'[1]táj.4'!G17</f>
        <v>0</v>
      </c>
      <c r="H17" s="804">
        <f>2000+'[1]táj.4'!H17</f>
        <v>2000</v>
      </c>
      <c r="I17" s="804">
        <f>0+'[1]táj.4'!I17</f>
        <v>0</v>
      </c>
      <c r="J17" s="804">
        <f>0+'[1]táj.4'!J17</f>
        <v>0</v>
      </c>
      <c r="K17" s="804">
        <f>0+'[1]táj.4'!K17</f>
        <v>0</v>
      </c>
      <c r="L17" s="804">
        <f t="shared" si="0"/>
        <v>717163</v>
      </c>
    </row>
    <row r="18" spans="1:12" s="23" customFormat="1" ht="12.75" customHeight="1">
      <c r="A18" s="802" t="s">
        <v>426</v>
      </c>
      <c r="B18" s="161" t="s">
        <v>1010</v>
      </c>
      <c r="C18" s="804">
        <f>65035+'[1]táj.4'!C18</f>
        <v>65884</v>
      </c>
      <c r="D18" s="804">
        <f>13400+'[1]táj.4'!D18</f>
        <v>13565</v>
      </c>
      <c r="E18" s="804">
        <f>50691+'[1]táj.4'!E18</f>
        <v>50691</v>
      </c>
      <c r="F18" s="804">
        <f>0+'[1]táj.4'!F18</f>
        <v>0</v>
      </c>
      <c r="G18" s="804">
        <f>0+'[1]táj.4'!G18</f>
        <v>0</v>
      </c>
      <c r="H18" s="804">
        <f>1000+'[1]táj.4'!H18</f>
        <v>1000</v>
      </c>
      <c r="I18" s="804">
        <f>0+'[1]táj.4'!I18</f>
        <v>0</v>
      </c>
      <c r="J18" s="804">
        <f>0+'[1]táj.4'!J18</f>
        <v>0</v>
      </c>
      <c r="K18" s="804">
        <f>0+'[1]táj.4'!K18</f>
        <v>0</v>
      </c>
      <c r="L18" s="804">
        <f t="shared" si="0"/>
        <v>131140</v>
      </c>
    </row>
    <row r="19" spans="1:12" s="23" customFormat="1" ht="15.75" customHeight="1">
      <c r="A19" s="802" t="s">
        <v>427</v>
      </c>
      <c r="B19" s="161" t="s">
        <v>1207</v>
      </c>
      <c r="C19" s="804">
        <f>60540+'[1]táj.4'!C19</f>
        <v>60547</v>
      </c>
      <c r="D19" s="804">
        <f>10780+'[1]táj.4'!D19</f>
        <v>10782</v>
      </c>
      <c r="E19" s="804">
        <f>49893+'[1]táj.4'!E19</f>
        <v>59893</v>
      </c>
      <c r="F19" s="804">
        <f>0+'[1]táj.4'!F19</f>
        <v>0</v>
      </c>
      <c r="G19" s="804">
        <f>0+'[1]táj.4'!G19</f>
        <v>0</v>
      </c>
      <c r="H19" s="804">
        <f>3620+'[1]táj.4'!H19</f>
        <v>3620</v>
      </c>
      <c r="I19" s="804">
        <f>0+'[1]táj.4'!I19</f>
        <v>0</v>
      </c>
      <c r="J19" s="804">
        <f>0+'[1]táj.4'!J19</f>
        <v>0</v>
      </c>
      <c r="K19" s="804">
        <f>0+'[1]táj.4'!K19</f>
        <v>0</v>
      </c>
      <c r="L19" s="804">
        <f t="shared" si="0"/>
        <v>134842</v>
      </c>
    </row>
    <row r="20" spans="1:12" s="4" customFormat="1" ht="12">
      <c r="A20" s="802" t="s">
        <v>1206</v>
      </c>
      <c r="B20" s="161" t="s">
        <v>1239</v>
      </c>
      <c r="C20" s="804">
        <f>35932+'[1]táj.4'!C20</f>
        <v>35936</v>
      </c>
      <c r="D20" s="804">
        <f>6948+'[1]táj.4'!D20</f>
        <v>6949</v>
      </c>
      <c r="E20" s="804">
        <f>65450+'[1]táj.4'!E20</f>
        <v>65450</v>
      </c>
      <c r="F20" s="804">
        <f>0+'[1]táj.4'!F20</f>
        <v>0</v>
      </c>
      <c r="G20" s="804">
        <f>100+'[1]táj.4'!G20</f>
        <v>100</v>
      </c>
      <c r="H20" s="804">
        <f>1384+'[1]táj.4'!H20</f>
        <v>1384</v>
      </c>
      <c r="I20" s="804">
        <f>1016+'[1]táj.4'!I20</f>
        <v>1016</v>
      </c>
      <c r="J20" s="804">
        <f>0+'[1]táj.4'!J20</f>
        <v>0</v>
      </c>
      <c r="K20" s="804">
        <f>0+'[1]táj.4'!K20</f>
        <v>0</v>
      </c>
      <c r="L20" s="804">
        <f t="shared" si="0"/>
        <v>110835</v>
      </c>
    </row>
    <row r="21" spans="1:12" s="4" customFormat="1" ht="12">
      <c r="A21" s="167"/>
      <c r="B21" s="168" t="s">
        <v>338</v>
      </c>
      <c r="C21" s="69">
        <f aca="true" t="shared" si="1" ref="C21:L21">SUM(C3:C20)</f>
        <v>3841263</v>
      </c>
      <c r="D21" s="69">
        <f t="shared" si="1"/>
        <v>786159</v>
      </c>
      <c r="E21" s="69">
        <f t="shared" si="1"/>
        <v>2406788</v>
      </c>
      <c r="F21" s="69">
        <f t="shared" si="1"/>
        <v>3400</v>
      </c>
      <c r="G21" s="69">
        <f t="shared" si="1"/>
        <v>63403</v>
      </c>
      <c r="H21" s="69">
        <f t="shared" si="1"/>
        <v>100451</v>
      </c>
      <c r="I21" s="69">
        <f t="shared" si="1"/>
        <v>22000</v>
      </c>
      <c r="J21" s="69">
        <f t="shared" si="1"/>
        <v>0</v>
      </c>
      <c r="K21" s="69">
        <f t="shared" si="1"/>
        <v>0</v>
      </c>
      <c r="L21" s="69">
        <f t="shared" si="1"/>
        <v>7223464</v>
      </c>
    </row>
    <row r="22" s="4" customFormat="1" ht="12"/>
    <row r="23" s="4" customFormat="1" ht="12"/>
    <row r="24" s="4" customFormat="1" ht="12"/>
    <row r="25" s="4" customFormat="1" ht="12"/>
    <row r="26" s="4" customFormat="1" ht="12"/>
  </sheetData>
  <sheetProtection/>
  <mergeCells count="5">
    <mergeCell ref="L1:L2"/>
    <mergeCell ref="A1:A2"/>
    <mergeCell ref="B1:B2"/>
    <mergeCell ref="C1:J1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dőlt"ZALAEGERSZEG MEGYEI JOGÚ VÁROS ÖNKORMÁNYZATA ÁLTAL IRÁNYÍTOTT KÖLTSÉGVETÉSI SZERVEK 
2019.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C1">
      <selection activeCell="J19" sqref="J19"/>
    </sheetView>
  </sheetViews>
  <sheetFormatPr defaultColWidth="9.00390625" defaultRowHeight="12.75"/>
  <cols>
    <col min="1" max="1" width="7.375" style="240" customWidth="1"/>
    <col min="2" max="2" width="33.875" style="240" customWidth="1"/>
    <col min="3" max="3" width="9.875" style="240" customWidth="1"/>
    <col min="4" max="4" width="7.625" style="240" customWidth="1"/>
    <col min="5" max="5" width="10.00390625" style="240" customWidth="1"/>
    <col min="6" max="8" width="11.50390625" style="240" customWidth="1"/>
    <col min="9" max="9" width="10.50390625" style="240" customWidth="1"/>
    <col min="10" max="10" width="11.00390625" style="240" customWidth="1"/>
    <col min="11" max="11" width="11.625" style="240" customWidth="1"/>
    <col min="12" max="12" width="11.00390625" style="240" customWidth="1"/>
    <col min="13" max="13" width="11.50390625" style="240" customWidth="1"/>
    <col min="14" max="14" width="10.625" style="240" customWidth="1"/>
    <col min="15" max="15" width="11.875" style="240" customWidth="1"/>
    <col min="16" max="16384" width="9.375" style="240" customWidth="1"/>
  </cols>
  <sheetData>
    <row r="1" spans="1:15" s="229" customFormat="1" ht="13.5" customHeight="1" thickBot="1">
      <c r="A1" s="551"/>
      <c r="B1" s="552" t="s">
        <v>857</v>
      </c>
      <c r="C1" s="555" t="s">
        <v>462</v>
      </c>
      <c r="D1" s="555" t="s">
        <v>463</v>
      </c>
      <c r="E1" s="555" t="s">
        <v>464</v>
      </c>
      <c r="F1" s="556" t="s">
        <v>465</v>
      </c>
      <c r="G1" s="556"/>
      <c r="H1" s="556"/>
      <c r="I1" s="557" t="s">
        <v>466</v>
      </c>
      <c r="J1" s="557"/>
      <c r="K1" s="557" t="s">
        <v>494</v>
      </c>
      <c r="L1" s="557"/>
      <c r="M1" s="557" t="s">
        <v>685</v>
      </c>
      <c r="N1" s="557"/>
      <c r="O1" s="554" t="s">
        <v>495</v>
      </c>
    </row>
    <row r="2" spans="1:15" s="229" customFormat="1" ht="60.75" customHeight="1" thickBot="1">
      <c r="A2" s="551"/>
      <c r="B2" s="553"/>
      <c r="C2" s="555"/>
      <c r="D2" s="555"/>
      <c r="E2" s="555"/>
      <c r="F2" s="230" t="s">
        <v>682</v>
      </c>
      <c r="G2" s="231" t="s">
        <v>683</v>
      </c>
      <c r="H2" s="232" t="s">
        <v>684</v>
      </c>
      <c r="I2" s="233" t="s">
        <v>496</v>
      </c>
      <c r="J2" s="234" t="s">
        <v>497</v>
      </c>
      <c r="K2" s="233" t="s">
        <v>498</v>
      </c>
      <c r="L2" s="234" t="s">
        <v>497</v>
      </c>
      <c r="M2" s="233" t="s">
        <v>498</v>
      </c>
      <c r="N2" s="234" t="s">
        <v>497</v>
      </c>
      <c r="O2" s="554"/>
    </row>
    <row r="3" spans="1:15" ht="39.75" customHeight="1">
      <c r="A3" s="235" t="s">
        <v>577</v>
      </c>
      <c r="B3" s="236" t="s">
        <v>499</v>
      </c>
      <c r="C3" s="237" t="s">
        <v>500</v>
      </c>
      <c r="D3" s="238" t="s">
        <v>501</v>
      </c>
      <c r="E3" s="239">
        <v>300000</v>
      </c>
      <c r="F3" s="310">
        <v>206412</v>
      </c>
      <c r="G3" s="310"/>
      <c r="H3" s="310"/>
      <c r="I3" s="310">
        <v>10452</v>
      </c>
      <c r="J3" s="310">
        <v>6076</v>
      </c>
      <c r="K3" s="310">
        <v>10452</v>
      </c>
      <c r="L3" s="310">
        <v>5760</v>
      </c>
      <c r="M3" s="310">
        <v>10452</v>
      </c>
      <c r="N3" s="310">
        <v>5448</v>
      </c>
      <c r="O3" s="310">
        <v>175056</v>
      </c>
    </row>
    <row r="4" spans="1:15" ht="39.75" customHeight="1">
      <c r="A4" s="235" t="s">
        <v>576</v>
      </c>
      <c r="B4" s="236" t="s">
        <v>502</v>
      </c>
      <c r="C4" s="241" t="s">
        <v>500</v>
      </c>
      <c r="D4" s="241" t="s">
        <v>503</v>
      </c>
      <c r="E4" s="239">
        <v>173892</v>
      </c>
      <c r="F4" s="310">
        <v>3582</v>
      </c>
      <c r="G4" s="310"/>
      <c r="H4" s="310"/>
      <c r="I4" s="310">
        <v>1200</v>
      </c>
      <c r="J4" s="310">
        <v>88</v>
      </c>
      <c r="K4" s="310">
        <v>1200</v>
      </c>
      <c r="L4" s="310">
        <v>56</v>
      </c>
      <c r="M4" s="310">
        <v>1182</v>
      </c>
      <c r="N4" s="310">
        <v>20</v>
      </c>
      <c r="O4" s="310">
        <v>0</v>
      </c>
    </row>
    <row r="5" spans="1:15" ht="39.75" customHeight="1">
      <c r="A5" s="235" t="s">
        <v>578</v>
      </c>
      <c r="B5" s="236" t="s">
        <v>504</v>
      </c>
      <c r="C5" s="241" t="s">
        <v>500</v>
      </c>
      <c r="D5" s="241" t="s">
        <v>505</v>
      </c>
      <c r="E5" s="239">
        <v>950000</v>
      </c>
      <c r="F5" s="310">
        <v>936900</v>
      </c>
      <c r="G5" s="310"/>
      <c r="H5" s="310"/>
      <c r="I5" s="310">
        <v>52400</v>
      </c>
      <c r="J5" s="310">
        <v>13760</v>
      </c>
      <c r="K5" s="310">
        <v>52400</v>
      </c>
      <c r="L5" s="310">
        <v>12974</v>
      </c>
      <c r="M5" s="310">
        <v>52400</v>
      </c>
      <c r="N5" s="310">
        <v>12187</v>
      </c>
      <c r="O5" s="310">
        <v>779700</v>
      </c>
    </row>
    <row r="6" spans="1:15" ht="39.75" customHeight="1">
      <c r="A6" s="235" t="s">
        <v>579</v>
      </c>
      <c r="B6" s="236" t="s">
        <v>117</v>
      </c>
      <c r="C6" s="241" t="s">
        <v>500</v>
      </c>
      <c r="D6" s="241" t="s">
        <v>506</v>
      </c>
      <c r="E6" s="239">
        <v>100000</v>
      </c>
      <c r="F6" s="310">
        <v>83205</v>
      </c>
      <c r="G6" s="310"/>
      <c r="H6" s="310">
        <v>16795</v>
      </c>
      <c r="I6" s="310">
        <v>2500</v>
      </c>
      <c r="J6" s="310">
        <v>1200</v>
      </c>
      <c r="K6" s="310">
        <v>10000</v>
      </c>
      <c r="L6" s="310">
        <v>1126</v>
      </c>
      <c r="M6" s="310">
        <v>10000</v>
      </c>
      <c r="N6" s="310">
        <v>1006</v>
      </c>
      <c r="O6" s="310">
        <v>77500</v>
      </c>
    </row>
    <row r="7" spans="1:15" ht="39.75" customHeight="1">
      <c r="A7" s="235" t="s">
        <v>554</v>
      </c>
      <c r="B7" s="236" t="s">
        <v>507</v>
      </c>
      <c r="C7" s="241" t="s">
        <v>500</v>
      </c>
      <c r="D7" s="241" t="s">
        <v>508</v>
      </c>
      <c r="E7" s="239">
        <v>240000</v>
      </c>
      <c r="F7" s="310">
        <v>65796</v>
      </c>
      <c r="G7" s="310"/>
      <c r="H7" s="310">
        <v>174204</v>
      </c>
      <c r="I7" s="310">
        <v>7500</v>
      </c>
      <c r="J7" s="310">
        <v>2784</v>
      </c>
      <c r="K7" s="310">
        <v>30000</v>
      </c>
      <c r="L7" s="310">
        <v>2302</v>
      </c>
      <c r="M7" s="310">
        <v>30000</v>
      </c>
      <c r="N7" s="310">
        <v>1990</v>
      </c>
      <c r="O7" s="310">
        <v>172500</v>
      </c>
    </row>
    <row r="8" spans="1:15" ht="39.75" customHeight="1">
      <c r="A8" s="242"/>
      <c r="B8" s="243" t="s">
        <v>856</v>
      </c>
      <c r="C8" s="244"/>
      <c r="D8" s="244"/>
      <c r="E8" s="245">
        <f aca="true" t="shared" si="0" ref="E8:O8">SUM(E3:E7)</f>
        <v>1763892</v>
      </c>
      <c r="F8" s="245">
        <f t="shared" si="0"/>
        <v>1295895</v>
      </c>
      <c r="G8" s="245">
        <f t="shared" si="0"/>
        <v>0</v>
      </c>
      <c r="H8" s="245">
        <f t="shared" si="0"/>
        <v>190999</v>
      </c>
      <c r="I8" s="245">
        <f t="shared" si="0"/>
        <v>74052</v>
      </c>
      <c r="J8" s="245">
        <f t="shared" si="0"/>
        <v>23908</v>
      </c>
      <c r="K8" s="245">
        <f t="shared" si="0"/>
        <v>104052</v>
      </c>
      <c r="L8" s="245">
        <f t="shared" si="0"/>
        <v>22218</v>
      </c>
      <c r="M8" s="245">
        <f t="shared" si="0"/>
        <v>104034</v>
      </c>
      <c r="N8" s="245">
        <f t="shared" si="0"/>
        <v>20651</v>
      </c>
      <c r="O8" s="245">
        <f t="shared" si="0"/>
        <v>1204756</v>
      </c>
    </row>
    <row r="9" spans="2:11" ht="10.5" customHeight="1">
      <c r="B9" s="246"/>
      <c r="C9" s="246"/>
      <c r="D9" s="246"/>
      <c r="E9" s="246"/>
      <c r="F9" s="246"/>
      <c r="G9" s="246"/>
      <c r="H9" s="246"/>
      <c r="I9" s="246"/>
      <c r="J9" s="246"/>
      <c r="K9" s="246"/>
    </row>
    <row r="10" spans="2:11" ht="19.5" customHeight="1">
      <c r="B10" s="246"/>
      <c r="C10" s="246"/>
      <c r="D10" s="246"/>
      <c r="E10" s="246"/>
      <c r="F10" s="246"/>
      <c r="G10" s="246"/>
      <c r="H10" s="246"/>
      <c r="I10" s="246"/>
      <c r="J10" s="246"/>
      <c r="K10" s="246"/>
    </row>
    <row r="11" spans="2:11" ht="19.5" customHeight="1">
      <c r="B11" s="246"/>
      <c r="C11" s="246"/>
      <c r="D11" s="246"/>
      <c r="E11" s="246"/>
      <c r="F11" s="246"/>
      <c r="G11" s="246"/>
      <c r="H11" s="246"/>
      <c r="I11" s="246"/>
      <c r="J11" s="246"/>
      <c r="K11" s="246"/>
    </row>
    <row r="12" spans="1:3" ht="36.75" customHeight="1">
      <c r="A12"/>
      <c r="B12"/>
      <c r="C12" s="247"/>
    </row>
    <row r="13" spans="1:14" ht="19.5" customHeight="1">
      <c r="A13"/>
      <c r="B13"/>
      <c r="C13"/>
      <c r="N13" s="240" t="s">
        <v>572</v>
      </c>
    </row>
    <row r="14" spans="1:3" ht="19.5" customHeight="1">
      <c r="A14"/>
      <c r="B14"/>
      <c r="C14" s="247"/>
    </row>
    <row r="15" spans="1:3" ht="19.5" customHeight="1">
      <c r="A15"/>
      <c r="B15"/>
      <c r="C15"/>
    </row>
    <row r="16" spans="1:3" ht="19.5" customHeight="1">
      <c r="A16"/>
      <c r="B16"/>
      <c r="C16" s="247"/>
    </row>
    <row r="17" spans="1:3" ht="19.5" customHeight="1">
      <c r="A17"/>
      <c r="B17"/>
      <c r="C17"/>
    </row>
    <row r="18" spans="1:3" ht="19.5" customHeight="1">
      <c r="A18"/>
      <c r="B18"/>
      <c r="C18" s="247"/>
    </row>
    <row r="19" spans="1:3" ht="19.5" customHeight="1">
      <c r="A19"/>
      <c r="B19"/>
      <c r="C19"/>
    </row>
    <row r="20" spans="1:3" ht="19.5" customHeight="1">
      <c r="A20"/>
      <c r="B20"/>
      <c r="C20" s="247"/>
    </row>
    <row r="21" spans="1:3" ht="19.5" customHeight="1">
      <c r="A21"/>
      <c r="B21"/>
      <c r="C21"/>
    </row>
    <row r="22" spans="1:3" ht="19.5" customHeight="1">
      <c r="A22"/>
      <c r="B22"/>
      <c r="C22" s="247"/>
    </row>
    <row r="23" spans="1:3" ht="19.5" customHeight="1">
      <c r="A23"/>
      <c r="B23"/>
      <c r="C23"/>
    </row>
    <row r="24" spans="1:3" ht="19.5" customHeight="1">
      <c r="A24"/>
      <c r="B24"/>
      <c r="C24" s="247"/>
    </row>
    <row r="25" ht="19.5" customHeight="1"/>
    <row r="26" spans="2:8" ht="19.5" customHeight="1">
      <c r="B26"/>
      <c r="C26"/>
      <c r="D26"/>
      <c r="E26"/>
      <c r="F26"/>
      <c r="G26"/>
      <c r="H26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mergeCells count="10">
    <mergeCell ref="A1:A2"/>
    <mergeCell ref="B1:B2"/>
    <mergeCell ref="O1:O2"/>
    <mergeCell ref="C1:C2"/>
    <mergeCell ref="D1:D2"/>
    <mergeCell ref="E1:E2"/>
    <mergeCell ref="F1:H1"/>
    <mergeCell ref="I1:J1"/>
    <mergeCell ref="K1:L1"/>
    <mergeCell ref="M1:N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&amp;C&amp;"Times New Roman CE,Félkövér dőlt"A HITELÁLLOMÁNY ÉS ADÓSSÁGSZOLGÁLAT ALAKULÁSA 2019-2021.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G22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8.125" style="805" customWidth="1"/>
    <col min="2" max="2" width="37.50390625" style="805" customWidth="1"/>
    <col min="3" max="3" width="12.50390625" style="805" customWidth="1"/>
    <col min="4" max="9" width="9.375" style="805" customWidth="1"/>
    <col min="10" max="10" width="9.50390625" style="805" customWidth="1"/>
    <col min="11" max="11" width="11.625" style="805" customWidth="1"/>
    <col min="12" max="16384" width="9.375" style="805" customWidth="1"/>
  </cols>
  <sheetData>
    <row r="1" spans="1:59" ht="54">
      <c r="A1" s="252" t="s">
        <v>1237</v>
      </c>
      <c r="B1" s="253" t="s">
        <v>857</v>
      </c>
      <c r="C1" s="254" t="s">
        <v>85</v>
      </c>
      <c r="D1" s="253" t="s">
        <v>177</v>
      </c>
      <c r="E1" s="253" t="s">
        <v>1238</v>
      </c>
      <c r="F1" s="253" t="s">
        <v>178</v>
      </c>
      <c r="G1" s="254" t="s">
        <v>179</v>
      </c>
      <c r="H1" s="255" t="s">
        <v>622</v>
      </c>
      <c r="I1" s="255" t="s">
        <v>537</v>
      </c>
      <c r="J1" s="255" t="s">
        <v>689</v>
      </c>
      <c r="K1" s="254" t="s">
        <v>752</v>
      </c>
      <c r="L1" s="255" t="s">
        <v>428</v>
      </c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</row>
    <row r="2" spans="1:59" ht="12.75">
      <c r="A2" s="806">
        <v>1</v>
      </c>
      <c r="B2" s="807" t="s">
        <v>1184</v>
      </c>
      <c r="C2" s="808">
        <v>5</v>
      </c>
      <c r="D2" s="808">
        <v>3</v>
      </c>
      <c r="E2" s="809"/>
      <c r="F2" s="809"/>
      <c r="G2" s="809"/>
      <c r="H2" s="809"/>
      <c r="I2" s="809"/>
      <c r="J2" s="810">
        <v>2</v>
      </c>
      <c r="K2" s="808">
        <v>5</v>
      </c>
      <c r="L2" s="808">
        <v>0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</row>
    <row r="3" spans="1:59" ht="20.25" customHeight="1">
      <c r="A3" s="811">
        <v>2</v>
      </c>
      <c r="B3" s="812" t="s">
        <v>623</v>
      </c>
      <c r="C3" s="813">
        <v>191</v>
      </c>
      <c r="D3" s="813">
        <v>162</v>
      </c>
      <c r="E3" s="813"/>
      <c r="F3" s="813"/>
      <c r="G3" s="813"/>
      <c r="H3" s="813"/>
      <c r="I3" s="813">
        <v>21</v>
      </c>
      <c r="J3" s="813">
        <v>9</v>
      </c>
      <c r="K3" s="813">
        <f>SUM(D3:J3)</f>
        <v>192</v>
      </c>
      <c r="L3" s="808">
        <f>K3-C3</f>
        <v>1</v>
      </c>
      <c r="M3" s="814"/>
      <c r="N3" s="814"/>
      <c r="O3" s="814"/>
      <c r="P3" s="814"/>
      <c r="Q3" s="814"/>
      <c r="R3" s="814"/>
      <c r="S3" s="814"/>
      <c r="T3" s="814"/>
      <c r="U3" s="814"/>
      <c r="V3" s="814"/>
      <c r="W3" s="814"/>
      <c r="X3" s="814"/>
      <c r="Y3" s="814"/>
      <c r="Z3" s="814"/>
      <c r="AA3" s="814"/>
      <c r="AB3" s="814"/>
      <c r="AC3" s="814"/>
      <c r="AD3" s="814"/>
      <c r="AE3" s="814"/>
      <c r="AF3" s="814"/>
      <c r="AG3" s="814"/>
      <c r="AH3" s="814"/>
      <c r="AI3" s="814"/>
      <c r="AJ3" s="814"/>
      <c r="AK3" s="814"/>
      <c r="AL3" s="814"/>
      <c r="AM3" s="814"/>
      <c r="AN3" s="814"/>
      <c r="AO3" s="814"/>
      <c r="AP3" s="814"/>
      <c r="AQ3" s="814"/>
      <c r="AR3" s="814"/>
      <c r="AS3" s="814"/>
      <c r="AT3" s="814"/>
      <c r="AU3" s="814"/>
      <c r="AV3" s="814"/>
      <c r="AW3" s="814"/>
      <c r="AX3" s="814"/>
      <c r="AY3" s="814"/>
      <c r="AZ3" s="814"/>
      <c r="BA3" s="814"/>
      <c r="BB3" s="814"/>
      <c r="BC3" s="814"/>
      <c r="BD3" s="814"/>
      <c r="BE3" s="814"/>
      <c r="BF3" s="814"/>
      <c r="BG3" s="814"/>
    </row>
    <row r="4" spans="1:59" ht="18.75" customHeight="1">
      <c r="A4" s="811">
        <v>3</v>
      </c>
      <c r="B4" s="812" t="s">
        <v>624</v>
      </c>
      <c r="C4" s="813">
        <v>45.5</v>
      </c>
      <c r="D4" s="813"/>
      <c r="E4" s="815"/>
      <c r="F4" s="815"/>
      <c r="G4" s="813"/>
      <c r="H4" s="816"/>
      <c r="I4" s="813">
        <v>31</v>
      </c>
      <c r="J4" s="813">
        <v>14.5</v>
      </c>
      <c r="K4" s="813">
        <v>45.5</v>
      </c>
      <c r="L4" s="808">
        <v>0</v>
      </c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7"/>
      <c r="AA4" s="817"/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7"/>
      <c r="AP4" s="817"/>
      <c r="AQ4" s="817"/>
      <c r="AR4" s="817"/>
      <c r="AS4" s="817"/>
      <c r="AT4" s="817"/>
      <c r="AU4" s="817"/>
      <c r="AV4" s="817"/>
      <c r="AW4" s="817"/>
      <c r="AX4" s="817"/>
      <c r="AY4" s="817"/>
      <c r="AZ4" s="817"/>
      <c r="BA4" s="817"/>
      <c r="BB4" s="817"/>
      <c r="BC4" s="817"/>
      <c r="BD4" s="817"/>
      <c r="BE4" s="817"/>
      <c r="BF4" s="817"/>
      <c r="BG4" s="817"/>
    </row>
    <row r="5" spans="1:59" ht="15.75">
      <c r="A5" s="811">
        <v>4</v>
      </c>
      <c r="B5" s="807" t="s">
        <v>991</v>
      </c>
      <c r="C5" s="813">
        <v>122.5</v>
      </c>
      <c r="D5" s="813"/>
      <c r="E5" s="815">
        <v>0.5</v>
      </c>
      <c r="F5" s="816"/>
      <c r="G5" s="813"/>
      <c r="H5" s="816">
        <v>77</v>
      </c>
      <c r="I5" s="813">
        <v>4</v>
      </c>
      <c r="J5" s="813">
        <v>41</v>
      </c>
      <c r="K5" s="813">
        <v>122.5</v>
      </c>
      <c r="L5" s="808">
        <v>0</v>
      </c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7"/>
      <c r="AA5" s="817"/>
      <c r="AB5" s="817"/>
      <c r="AC5" s="817"/>
      <c r="AD5" s="817"/>
      <c r="AE5" s="817"/>
      <c r="AF5" s="817"/>
      <c r="AG5" s="817"/>
      <c r="AH5" s="817"/>
      <c r="AI5" s="817"/>
      <c r="AJ5" s="817"/>
      <c r="AK5" s="817"/>
      <c r="AL5" s="817"/>
      <c r="AM5" s="817"/>
      <c r="AN5" s="817"/>
      <c r="AO5" s="817"/>
      <c r="AP5" s="817"/>
      <c r="AQ5" s="817"/>
      <c r="AR5" s="817"/>
      <c r="AS5" s="817"/>
      <c r="AT5" s="817"/>
      <c r="AU5" s="817"/>
      <c r="AV5" s="817"/>
      <c r="AW5" s="817"/>
      <c r="AX5" s="817"/>
      <c r="AY5" s="817"/>
      <c r="AZ5" s="817"/>
      <c r="BA5" s="817"/>
      <c r="BB5" s="817"/>
      <c r="BC5" s="817"/>
      <c r="BD5" s="817"/>
      <c r="BE5" s="817"/>
      <c r="BF5" s="817"/>
      <c r="BG5" s="817"/>
    </row>
    <row r="6" spans="1:59" ht="15.75">
      <c r="A6" s="811">
        <v>5</v>
      </c>
      <c r="B6" s="807" t="s">
        <v>625</v>
      </c>
      <c r="C6" s="813">
        <v>56.5</v>
      </c>
      <c r="D6" s="813"/>
      <c r="E6" s="813">
        <v>4</v>
      </c>
      <c r="F6" s="815"/>
      <c r="G6" s="813"/>
      <c r="H6" s="816">
        <v>45.5</v>
      </c>
      <c r="I6" s="813"/>
      <c r="J6" s="813">
        <v>7</v>
      </c>
      <c r="K6" s="813">
        <v>56.5</v>
      </c>
      <c r="L6" s="808">
        <v>0</v>
      </c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817"/>
      <c r="AJ6" s="817"/>
      <c r="AK6" s="817"/>
      <c r="AL6" s="817"/>
      <c r="AM6" s="817"/>
      <c r="AN6" s="817"/>
      <c r="AO6" s="817"/>
      <c r="AP6" s="817"/>
      <c r="AQ6" s="817"/>
      <c r="AR6" s="817"/>
      <c r="AS6" s="817"/>
      <c r="AT6" s="817"/>
      <c r="AU6" s="817"/>
      <c r="AV6" s="817"/>
      <c r="AW6" s="817"/>
      <c r="AX6" s="817"/>
      <c r="AY6" s="817"/>
      <c r="AZ6" s="817"/>
      <c r="BA6" s="817"/>
      <c r="BB6" s="817"/>
      <c r="BC6" s="817"/>
      <c r="BD6" s="817"/>
      <c r="BE6" s="817"/>
      <c r="BF6" s="817"/>
      <c r="BG6" s="817"/>
    </row>
    <row r="7" spans="1:59" ht="29.25" customHeight="1">
      <c r="A7" s="811">
        <v>6</v>
      </c>
      <c r="B7" s="818" t="s">
        <v>1204</v>
      </c>
      <c r="C7" s="813">
        <v>54.5</v>
      </c>
      <c r="D7" s="813"/>
      <c r="E7" s="815"/>
      <c r="F7" s="815"/>
      <c r="G7" s="813"/>
      <c r="H7" s="816">
        <v>59.5</v>
      </c>
      <c r="I7" s="813">
        <v>2</v>
      </c>
      <c r="J7" s="813"/>
      <c r="K7" s="813">
        <f>SUM(D7:J7)</f>
        <v>61.5</v>
      </c>
      <c r="L7" s="819">
        <f>K7-C7</f>
        <v>7</v>
      </c>
      <c r="M7" s="817"/>
      <c r="N7" s="817"/>
      <c r="O7" s="817"/>
      <c r="P7" s="817"/>
      <c r="Q7" s="817"/>
      <c r="R7" s="817"/>
      <c r="S7" s="817"/>
      <c r="T7" s="817"/>
      <c r="U7" s="817"/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/>
      <c r="AI7" s="817"/>
      <c r="AJ7" s="817"/>
      <c r="AK7" s="817"/>
      <c r="AL7" s="817"/>
      <c r="AM7" s="817"/>
      <c r="AN7" s="817"/>
      <c r="AO7" s="817"/>
      <c r="AP7" s="817"/>
      <c r="AQ7" s="817"/>
      <c r="AR7" s="817"/>
      <c r="AS7" s="817"/>
      <c r="AT7" s="817"/>
      <c r="AU7" s="817"/>
      <c r="AV7" s="817"/>
      <c r="AW7" s="817"/>
      <c r="AX7" s="817"/>
      <c r="AY7" s="817"/>
      <c r="AZ7" s="817"/>
      <c r="BA7" s="817"/>
      <c r="BB7" s="817"/>
      <c r="BC7" s="817"/>
      <c r="BD7" s="817"/>
      <c r="BE7" s="817"/>
      <c r="BF7" s="817"/>
      <c r="BG7" s="817"/>
    </row>
    <row r="8" spans="1:59" ht="15.75">
      <c r="A8" s="811">
        <v>7</v>
      </c>
      <c r="B8" s="807" t="s">
        <v>626</v>
      </c>
      <c r="C8" s="813">
        <v>72.5</v>
      </c>
      <c r="D8" s="813"/>
      <c r="E8" s="815"/>
      <c r="F8" s="815">
        <v>40.5</v>
      </c>
      <c r="G8" s="813"/>
      <c r="H8" s="816">
        <v>25</v>
      </c>
      <c r="I8" s="813"/>
      <c r="J8" s="813">
        <v>7</v>
      </c>
      <c r="K8" s="813">
        <v>72.5</v>
      </c>
      <c r="L8" s="808">
        <v>0</v>
      </c>
      <c r="M8" s="817"/>
      <c r="N8" s="817"/>
      <c r="O8" s="817"/>
      <c r="P8" s="817"/>
      <c r="Q8" s="817"/>
      <c r="R8" s="817"/>
      <c r="S8" s="817"/>
      <c r="T8" s="817"/>
      <c r="U8" s="817"/>
      <c r="V8" s="817"/>
      <c r="W8" s="817"/>
      <c r="X8" s="817"/>
      <c r="Y8" s="817"/>
      <c r="Z8" s="817"/>
      <c r="AA8" s="817"/>
      <c r="AB8" s="817"/>
      <c r="AC8" s="817"/>
      <c r="AD8" s="817"/>
      <c r="AE8" s="817"/>
      <c r="AF8" s="817"/>
      <c r="AG8" s="817"/>
      <c r="AH8" s="817"/>
      <c r="AI8" s="817"/>
      <c r="AJ8" s="817"/>
      <c r="AK8" s="817"/>
      <c r="AL8" s="817"/>
      <c r="AM8" s="817"/>
      <c r="AN8" s="817"/>
      <c r="AO8" s="817"/>
      <c r="AP8" s="817"/>
      <c r="AQ8" s="817"/>
      <c r="AR8" s="817"/>
      <c r="AS8" s="817"/>
      <c r="AT8" s="817"/>
      <c r="AU8" s="817"/>
      <c r="AV8" s="817"/>
      <c r="AW8" s="817"/>
      <c r="AX8" s="817"/>
      <c r="AY8" s="817"/>
      <c r="AZ8" s="817"/>
      <c r="BA8" s="817"/>
      <c r="BB8" s="817"/>
      <c r="BC8" s="817"/>
      <c r="BD8" s="817"/>
      <c r="BE8" s="817"/>
      <c r="BF8" s="817"/>
      <c r="BG8" s="817"/>
    </row>
    <row r="9" spans="1:59" ht="15.75">
      <c r="A9" s="811">
        <v>8</v>
      </c>
      <c r="B9" s="807" t="s">
        <v>627</v>
      </c>
      <c r="C9" s="813">
        <v>63</v>
      </c>
      <c r="D9" s="813"/>
      <c r="E9" s="815"/>
      <c r="F9" s="813">
        <v>33</v>
      </c>
      <c r="G9" s="813"/>
      <c r="H9" s="816">
        <v>22</v>
      </c>
      <c r="I9" s="813"/>
      <c r="J9" s="813">
        <v>8</v>
      </c>
      <c r="K9" s="813">
        <v>63</v>
      </c>
      <c r="L9" s="808">
        <v>0</v>
      </c>
      <c r="M9" s="817"/>
      <c r="N9" s="817"/>
      <c r="O9" s="817"/>
      <c r="P9" s="817"/>
      <c r="Q9" s="817"/>
      <c r="R9" s="817"/>
      <c r="S9" s="817"/>
      <c r="T9" s="817"/>
      <c r="U9" s="817"/>
      <c r="V9" s="817"/>
      <c r="W9" s="817"/>
      <c r="X9" s="817"/>
      <c r="Y9" s="817"/>
      <c r="Z9" s="817"/>
      <c r="AA9" s="817"/>
      <c r="AB9" s="817"/>
      <c r="AC9" s="817"/>
      <c r="AD9" s="817"/>
      <c r="AE9" s="817"/>
      <c r="AF9" s="817"/>
      <c r="AG9" s="817"/>
      <c r="AH9" s="817"/>
      <c r="AI9" s="817"/>
      <c r="AJ9" s="817"/>
      <c r="AK9" s="817"/>
      <c r="AL9" s="817"/>
      <c r="AM9" s="817"/>
      <c r="AN9" s="817"/>
      <c r="AO9" s="817"/>
      <c r="AP9" s="817"/>
      <c r="AQ9" s="817"/>
      <c r="AR9" s="817"/>
      <c r="AS9" s="817"/>
      <c r="AT9" s="817"/>
      <c r="AU9" s="817"/>
      <c r="AV9" s="817"/>
      <c r="AW9" s="817"/>
      <c r="AX9" s="817"/>
      <c r="AY9" s="817"/>
      <c r="AZ9" s="817"/>
      <c r="BA9" s="817"/>
      <c r="BB9" s="817"/>
      <c r="BC9" s="817"/>
      <c r="BD9" s="817"/>
      <c r="BE9" s="817"/>
      <c r="BF9" s="817"/>
      <c r="BG9" s="817"/>
    </row>
    <row r="10" spans="1:59" ht="15.75">
      <c r="A10" s="811">
        <v>9</v>
      </c>
      <c r="B10" s="807" t="s">
        <v>1006</v>
      </c>
      <c r="C10" s="813">
        <v>69</v>
      </c>
      <c r="D10" s="813"/>
      <c r="E10" s="815"/>
      <c r="F10" s="813">
        <v>39</v>
      </c>
      <c r="G10" s="813"/>
      <c r="H10" s="816">
        <v>23</v>
      </c>
      <c r="I10" s="813"/>
      <c r="J10" s="813">
        <v>7</v>
      </c>
      <c r="K10" s="813">
        <v>69</v>
      </c>
      <c r="L10" s="808">
        <v>0</v>
      </c>
      <c r="M10" s="817"/>
      <c r="N10" s="817"/>
      <c r="O10" s="817"/>
      <c r="P10" s="817"/>
      <c r="Q10" s="817"/>
      <c r="R10" s="817"/>
      <c r="S10" s="817"/>
      <c r="T10" s="817"/>
      <c r="U10" s="817"/>
      <c r="V10" s="817"/>
      <c r="W10" s="817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  <c r="AI10" s="817"/>
      <c r="AJ10" s="817"/>
      <c r="AK10" s="817"/>
      <c r="AL10" s="817"/>
      <c r="AM10" s="817"/>
      <c r="AN10" s="817"/>
      <c r="AO10" s="817"/>
      <c r="AP10" s="817"/>
      <c r="AQ10" s="817"/>
      <c r="AR10" s="817"/>
      <c r="AS10" s="817"/>
      <c r="AT10" s="817"/>
      <c r="AU10" s="817"/>
      <c r="AV10" s="817"/>
      <c r="AW10" s="817"/>
      <c r="AX10" s="817"/>
      <c r="AY10" s="817"/>
      <c r="AZ10" s="817"/>
      <c r="BA10" s="817"/>
      <c r="BB10" s="817"/>
      <c r="BC10" s="817"/>
      <c r="BD10" s="817"/>
      <c r="BE10" s="817"/>
      <c r="BF10" s="817"/>
      <c r="BG10" s="817"/>
    </row>
    <row r="11" spans="1:59" ht="15.75">
      <c r="A11" s="811">
        <v>10</v>
      </c>
      <c r="B11" s="807" t="s">
        <v>1007</v>
      </c>
      <c r="C11" s="813">
        <v>68</v>
      </c>
      <c r="D11" s="813"/>
      <c r="E11" s="815"/>
      <c r="F11" s="813">
        <v>37</v>
      </c>
      <c r="G11" s="813"/>
      <c r="H11" s="816">
        <v>22</v>
      </c>
      <c r="I11" s="813"/>
      <c r="J11" s="813">
        <v>9</v>
      </c>
      <c r="K11" s="813">
        <v>68</v>
      </c>
      <c r="L11" s="808">
        <v>0</v>
      </c>
      <c r="M11" s="817"/>
      <c r="N11" s="817"/>
      <c r="O11" s="817"/>
      <c r="P11" s="817"/>
      <c r="Q11" s="817"/>
      <c r="R11" s="817"/>
      <c r="S11" s="817"/>
      <c r="T11" s="817"/>
      <c r="U11" s="817"/>
      <c r="V11" s="817"/>
      <c r="W11" s="817"/>
      <c r="X11" s="817"/>
      <c r="Y11" s="817"/>
      <c r="Z11" s="817"/>
      <c r="AA11" s="817"/>
      <c r="AB11" s="817"/>
      <c r="AC11" s="817"/>
      <c r="AD11" s="817"/>
      <c r="AE11" s="817"/>
      <c r="AF11" s="817"/>
      <c r="AG11" s="817"/>
      <c r="AH11" s="817"/>
      <c r="AI11" s="817"/>
      <c r="AJ11" s="817"/>
      <c r="AK11" s="817"/>
      <c r="AL11" s="817"/>
      <c r="AM11" s="817"/>
      <c r="AN11" s="817"/>
      <c r="AO11" s="817"/>
      <c r="AP11" s="817"/>
      <c r="AQ11" s="817"/>
      <c r="AR11" s="817"/>
      <c r="AS11" s="817"/>
      <c r="AT11" s="817"/>
      <c r="AU11" s="817"/>
      <c r="AV11" s="817"/>
      <c r="AW11" s="817"/>
      <c r="AX11" s="817"/>
      <c r="AY11" s="817"/>
      <c r="AZ11" s="817"/>
      <c r="BA11" s="817"/>
      <c r="BB11" s="817"/>
      <c r="BC11" s="817"/>
      <c r="BD11" s="817"/>
      <c r="BE11" s="817"/>
      <c r="BF11" s="817"/>
      <c r="BG11" s="817"/>
    </row>
    <row r="12" spans="1:59" ht="20.25" customHeight="1">
      <c r="A12" s="806">
        <v>11</v>
      </c>
      <c r="B12" s="818" t="s">
        <v>1205</v>
      </c>
      <c r="C12" s="813">
        <v>13</v>
      </c>
      <c r="D12" s="810"/>
      <c r="E12" s="820"/>
      <c r="F12" s="810"/>
      <c r="G12" s="810"/>
      <c r="H12" s="810"/>
      <c r="I12" s="810">
        <v>13</v>
      </c>
      <c r="J12" s="810"/>
      <c r="K12" s="810">
        <v>13</v>
      </c>
      <c r="L12" s="808">
        <v>0</v>
      </c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</row>
    <row r="13" spans="1:59" ht="27" customHeight="1">
      <c r="A13" s="806">
        <v>12</v>
      </c>
      <c r="B13" s="821" t="s">
        <v>628</v>
      </c>
      <c r="C13" s="813">
        <v>55.5</v>
      </c>
      <c r="D13" s="810"/>
      <c r="E13" s="810"/>
      <c r="F13" s="810"/>
      <c r="G13" s="810">
        <v>15</v>
      </c>
      <c r="H13" s="810">
        <v>7</v>
      </c>
      <c r="I13" s="810">
        <v>7</v>
      </c>
      <c r="J13" s="810">
        <v>26.5</v>
      </c>
      <c r="K13" s="810">
        <v>55.5</v>
      </c>
      <c r="L13" s="808">
        <v>0</v>
      </c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</row>
    <row r="14" spans="1:59" ht="28.5" customHeight="1">
      <c r="A14" s="806">
        <v>13</v>
      </c>
      <c r="B14" s="818" t="s">
        <v>629</v>
      </c>
      <c r="C14" s="813">
        <v>4</v>
      </c>
      <c r="D14" s="810"/>
      <c r="E14" s="820"/>
      <c r="F14" s="820"/>
      <c r="G14" s="810"/>
      <c r="H14" s="822">
        <v>4</v>
      </c>
      <c r="I14" s="822"/>
      <c r="J14" s="822"/>
      <c r="K14" s="822">
        <v>4</v>
      </c>
      <c r="L14" s="810">
        <v>0</v>
      </c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</row>
    <row r="15" spans="1:59" ht="12.75">
      <c r="A15" s="806">
        <v>14</v>
      </c>
      <c r="B15" s="807" t="s">
        <v>989</v>
      </c>
      <c r="C15" s="813">
        <v>54</v>
      </c>
      <c r="D15" s="810"/>
      <c r="E15" s="820"/>
      <c r="F15" s="820"/>
      <c r="G15" s="810">
        <v>42</v>
      </c>
      <c r="H15" s="822">
        <v>5.5</v>
      </c>
      <c r="I15" s="810">
        <v>1</v>
      </c>
      <c r="J15" s="810">
        <v>5.5</v>
      </c>
      <c r="K15" s="813">
        <v>54</v>
      </c>
      <c r="L15" s="810">
        <v>0</v>
      </c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</row>
    <row r="16" spans="1:59" ht="15">
      <c r="A16" s="806">
        <v>15</v>
      </c>
      <c r="B16" s="807" t="s">
        <v>990</v>
      </c>
      <c r="C16" s="813">
        <v>58</v>
      </c>
      <c r="D16" s="810"/>
      <c r="E16" s="820"/>
      <c r="F16" s="820"/>
      <c r="G16" s="823"/>
      <c r="H16" s="822">
        <v>45</v>
      </c>
      <c r="I16" s="822">
        <v>3</v>
      </c>
      <c r="J16" s="822">
        <v>10</v>
      </c>
      <c r="K16" s="822">
        <v>58</v>
      </c>
      <c r="L16" s="810">
        <v>0</v>
      </c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</row>
    <row r="17" spans="1:59" ht="12.75">
      <c r="A17" s="806">
        <v>16</v>
      </c>
      <c r="B17" s="807" t="s">
        <v>180</v>
      </c>
      <c r="C17" s="813">
        <v>127</v>
      </c>
      <c r="D17" s="810"/>
      <c r="E17" s="820"/>
      <c r="F17" s="820"/>
      <c r="G17" s="823"/>
      <c r="H17" s="822">
        <v>39</v>
      </c>
      <c r="I17" s="810">
        <v>16</v>
      </c>
      <c r="J17" s="810">
        <v>72</v>
      </c>
      <c r="K17" s="813">
        <v>127</v>
      </c>
      <c r="L17" s="810">
        <v>0</v>
      </c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</row>
    <row r="18" spans="1:59" ht="12.75">
      <c r="A18" s="806">
        <v>17</v>
      </c>
      <c r="B18" s="807" t="s">
        <v>1010</v>
      </c>
      <c r="C18" s="813">
        <v>19</v>
      </c>
      <c r="D18" s="810"/>
      <c r="E18" s="820"/>
      <c r="F18" s="820"/>
      <c r="G18" s="823"/>
      <c r="H18" s="822">
        <v>11</v>
      </c>
      <c r="I18" s="810">
        <v>1</v>
      </c>
      <c r="J18" s="810">
        <v>7</v>
      </c>
      <c r="K18" s="813">
        <v>19</v>
      </c>
      <c r="L18" s="810">
        <v>0</v>
      </c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</row>
    <row r="19" spans="1:59" ht="27" customHeight="1">
      <c r="A19" s="806">
        <v>18</v>
      </c>
      <c r="B19" s="818" t="s">
        <v>630</v>
      </c>
      <c r="C19" s="813">
        <v>23</v>
      </c>
      <c r="D19" s="810"/>
      <c r="E19" s="820"/>
      <c r="F19" s="820"/>
      <c r="G19" s="823"/>
      <c r="H19" s="822"/>
      <c r="I19" s="810">
        <v>4</v>
      </c>
      <c r="J19" s="810">
        <v>19</v>
      </c>
      <c r="K19" s="810">
        <v>23</v>
      </c>
      <c r="L19" s="810">
        <v>0</v>
      </c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</row>
    <row r="20" spans="1:59" ht="12.75">
      <c r="A20" s="806">
        <v>19</v>
      </c>
      <c r="B20" s="807" t="s">
        <v>1239</v>
      </c>
      <c r="C20" s="813">
        <v>11</v>
      </c>
      <c r="D20" s="810"/>
      <c r="E20" s="820"/>
      <c r="F20" s="820"/>
      <c r="G20" s="823"/>
      <c r="H20" s="822"/>
      <c r="I20" s="810">
        <v>3</v>
      </c>
      <c r="J20" s="810">
        <v>8</v>
      </c>
      <c r="K20" s="813">
        <v>11</v>
      </c>
      <c r="L20" s="810">
        <v>0</v>
      </c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</row>
    <row r="21" spans="1:59" ht="13.5">
      <c r="A21" s="256"/>
      <c r="B21" s="257" t="s">
        <v>181</v>
      </c>
      <c r="C21" s="258">
        <v>1107</v>
      </c>
      <c r="D21" s="258">
        <f>SUM(D3:D20)</f>
        <v>162</v>
      </c>
      <c r="E21" s="258">
        <v>4.5</v>
      </c>
      <c r="F21" s="258">
        <v>149.5</v>
      </c>
      <c r="G21" s="258">
        <v>57</v>
      </c>
      <c r="H21" s="258">
        <f>SUM(H3:H20)</f>
        <v>385.5</v>
      </c>
      <c r="I21" s="258">
        <v>106</v>
      </c>
      <c r="J21" s="258">
        <v>250.5</v>
      </c>
      <c r="K21" s="258">
        <f>SUM(K3:K20)</f>
        <v>1115</v>
      </c>
      <c r="L21" s="258">
        <f>K21-C21</f>
        <v>8</v>
      </c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</row>
    <row r="22" spans="1:59" ht="13.5">
      <c r="A22" s="319"/>
      <c r="B22" s="257" t="s">
        <v>856</v>
      </c>
      <c r="C22" s="320">
        <v>1112</v>
      </c>
      <c r="D22" s="320">
        <f>D2+D21</f>
        <v>165</v>
      </c>
      <c r="E22" s="320">
        <v>4.5</v>
      </c>
      <c r="F22" s="320">
        <v>149.5</v>
      </c>
      <c r="G22" s="320">
        <v>57</v>
      </c>
      <c r="H22" s="320">
        <f>H2+H21</f>
        <v>385.5</v>
      </c>
      <c r="I22" s="320">
        <v>106</v>
      </c>
      <c r="J22" s="320">
        <v>252.5</v>
      </c>
      <c r="K22" s="320">
        <f>K2+K21</f>
        <v>1120</v>
      </c>
      <c r="L22" s="320">
        <f>L2+L21</f>
        <v>8</v>
      </c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&amp;CZMJV Önkormányzata és az általa irányított költségvetési szervek 2019. évi létszám előirányzatának módosítása az I. negyedévben&amp;R10. melléklet
Adatok: főben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9">
      <selection activeCell="M4" sqref="M4"/>
    </sheetView>
  </sheetViews>
  <sheetFormatPr defaultColWidth="10.625" defaultRowHeight="12.75"/>
  <cols>
    <col min="1" max="1" width="4.875" style="415" customWidth="1"/>
    <col min="2" max="2" width="35.375" style="415" customWidth="1"/>
    <col min="3" max="3" width="12.125" style="415" customWidth="1"/>
    <col min="4" max="4" width="7.50390625" style="415" customWidth="1"/>
    <col min="5" max="5" width="10.625" style="415" customWidth="1"/>
    <col min="6" max="6" width="11.625" style="415" customWidth="1"/>
    <col min="7" max="7" width="10.375" style="415" customWidth="1"/>
    <col min="8" max="8" width="10.625" style="415" customWidth="1"/>
    <col min="9" max="9" width="9.125" style="415" customWidth="1"/>
    <col min="10" max="10" width="11.625" style="415" customWidth="1"/>
    <col min="11" max="11" width="9.875" style="415" customWidth="1"/>
    <col min="12" max="13" width="9.50390625" style="415" customWidth="1"/>
    <col min="14" max="14" width="13.625" style="512" hidden="1" customWidth="1"/>
    <col min="15" max="15" width="13.625" style="415" hidden="1" customWidth="1"/>
    <col min="16" max="16" width="13.50390625" style="415" hidden="1" customWidth="1"/>
    <col min="17" max="17" width="9.50390625" style="415" customWidth="1"/>
    <col min="18" max="18" width="10.625" style="436" customWidth="1"/>
    <col min="19" max="16384" width="10.625" style="415" customWidth="1"/>
  </cols>
  <sheetData>
    <row r="1" spans="1:18" ht="33.75" customHeight="1">
      <c r="A1" s="558" t="s">
        <v>365</v>
      </c>
      <c r="B1" s="558" t="s">
        <v>1410</v>
      </c>
      <c r="C1" s="558" t="s">
        <v>1411</v>
      </c>
      <c r="D1" s="558" t="s">
        <v>1412</v>
      </c>
      <c r="E1" s="558" t="s">
        <v>1413</v>
      </c>
      <c r="F1" s="558" t="s">
        <v>1414</v>
      </c>
      <c r="G1" s="558" t="s">
        <v>1415</v>
      </c>
      <c r="H1" s="558" t="s">
        <v>1416</v>
      </c>
      <c r="I1" s="558" t="s">
        <v>1417</v>
      </c>
      <c r="J1" s="567" t="s">
        <v>1418</v>
      </c>
      <c r="K1" s="567"/>
      <c r="L1" s="567"/>
      <c r="M1" s="568"/>
      <c r="N1" s="561"/>
      <c r="O1" s="562"/>
      <c r="P1" s="562"/>
      <c r="Q1" s="563" t="s">
        <v>1419</v>
      </c>
      <c r="R1" s="414"/>
    </row>
    <row r="2" spans="1:18" s="419" customFormat="1" ht="30.75" customHeight="1">
      <c r="A2" s="559"/>
      <c r="B2" s="559"/>
      <c r="C2" s="559"/>
      <c r="D2" s="559"/>
      <c r="E2" s="559"/>
      <c r="F2" s="559"/>
      <c r="G2" s="559"/>
      <c r="H2" s="559"/>
      <c r="I2" s="559"/>
      <c r="J2" s="564" t="s">
        <v>1420</v>
      </c>
      <c r="K2" s="566" t="s">
        <v>1421</v>
      </c>
      <c r="L2" s="567"/>
      <c r="M2" s="568"/>
      <c r="N2" s="416" t="s">
        <v>1422</v>
      </c>
      <c r="O2" s="416" t="s">
        <v>1423</v>
      </c>
      <c r="P2" s="417" t="s">
        <v>1424</v>
      </c>
      <c r="Q2" s="563"/>
      <c r="R2" s="418"/>
    </row>
    <row r="3" spans="1:18" s="419" customFormat="1" ht="51.75" customHeight="1">
      <c r="A3" s="560"/>
      <c r="B3" s="560"/>
      <c r="C3" s="560"/>
      <c r="D3" s="560"/>
      <c r="E3" s="560"/>
      <c r="F3" s="560"/>
      <c r="G3" s="560"/>
      <c r="H3" s="560"/>
      <c r="I3" s="560"/>
      <c r="J3" s="565"/>
      <c r="K3" s="420" t="s">
        <v>1425</v>
      </c>
      <c r="L3" s="420" t="s">
        <v>1426</v>
      </c>
      <c r="M3" s="420" t="s">
        <v>1427</v>
      </c>
      <c r="N3" s="416"/>
      <c r="O3" s="416"/>
      <c r="P3" s="417"/>
      <c r="Q3" s="563"/>
      <c r="R3" s="418"/>
    </row>
    <row r="4" spans="1:18" s="419" customFormat="1" ht="24.75" customHeight="1">
      <c r="A4" s="421"/>
      <c r="B4" s="422" t="s">
        <v>1428</v>
      </c>
      <c r="C4" s="423"/>
      <c r="D4" s="423"/>
      <c r="E4" s="423"/>
      <c r="F4" s="423"/>
      <c r="G4" s="423"/>
      <c r="H4" s="423"/>
      <c r="I4" s="424"/>
      <c r="J4" s="425"/>
      <c r="K4" s="141"/>
      <c r="L4" s="141"/>
      <c r="M4" s="141"/>
      <c r="N4" s="426"/>
      <c r="O4" s="426"/>
      <c r="P4" s="427"/>
      <c r="Q4" s="426"/>
      <c r="R4" s="418"/>
    </row>
    <row r="5" spans="1:17" ht="27.75" customHeight="1">
      <c r="A5" s="428">
        <v>1</v>
      </c>
      <c r="B5" s="429" t="s">
        <v>1429</v>
      </c>
      <c r="C5" s="430">
        <v>358971</v>
      </c>
      <c r="D5" s="430"/>
      <c r="E5" s="430"/>
      <c r="F5" s="430">
        <f>SUM(C5:E5)</f>
        <v>358971</v>
      </c>
      <c r="G5" s="430">
        <v>20811</v>
      </c>
      <c r="H5" s="430">
        <f>SUM(F5:G5)</f>
        <v>379782</v>
      </c>
      <c r="I5" s="431">
        <v>377185</v>
      </c>
      <c r="J5" s="432">
        <v>2597</v>
      </c>
      <c r="K5" s="430"/>
      <c r="L5" s="430">
        <v>2597</v>
      </c>
      <c r="M5" s="430"/>
      <c r="N5" s="433">
        <v>355929</v>
      </c>
      <c r="O5" s="433">
        <v>3042</v>
      </c>
      <c r="P5" s="434"/>
      <c r="Q5" s="435"/>
    </row>
    <row r="6" spans="1:17" ht="40.5" customHeight="1">
      <c r="A6" s="437">
        <v>2</v>
      </c>
      <c r="B6" s="438" t="s">
        <v>1051</v>
      </c>
      <c r="C6" s="430">
        <v>353000</v>
      </c>
      <c r="D6" s="430"/>
      <c r="E6" s="430"/>
      <c r="F6" s="430">
        <f aca="true" t="shared" si="0" ref="F6:F40">SUM(C6:E6)</f>
        <v>353000</v>
      </c>
      <c r="G6" s="430">
        <v>17981</v>
      </c>
      <c r="H6" s="430">
        <f aca="true" t="shared" si="1" ref="H6:H39">SUM(F6:G6)</f>
        <v>370981</v>
      </c>
      <c r="I6" s="431">
        <v>360868</v>
      </c>
      <c r="J6" s="432">
        <v>10113</v>
      </c>
      <c r="K6" s="430"/>
      <c r="L6" s="430"/>
      <c r="M6" s="430">
        <v>10113</v>
      </c>
      <c r="N6" s="435">
        <v>216490</v>
      </c>
      <c r="O6" s="435">
        <v>136510</v>
      </c>
      <c r="P6" s="439"/>
      <c r="Q6" s="435"/>
    </row>
    <row r="7" spans="1:17" ht="39" customHeight="1">
      <c r="A7" s="437">
        <v>3</v>
      </c>
      <c r="B7" s="440" t="s">
        <v>1050</v>
      </c>
      <c r="C7" s="441">
        <v>199992</v>
      </c>
      <c r="D7" s="441"/>
      <c r="E7" s="441"/>
      <c r="F7" s="430">
        <f t="shared" si="0"/>
        <v>199992</v>
      </c>
      <c r="G7" s="430">
        <v>2703</v>
      </c>
      <c r="H7" s="430">
        <f t="shared" si="1"/>
        <v>202695</v>
      </c>
      <c r="I7" s="431">
        <v>198589</v>
      </c>
      <c r="J7" s="432">
        <v>4106</v>
      </c>
      <c r="K7" s="441"/>
      <c r="L7" s="441"/>
      <c r="M7" s="441">
        <v>4106</v>
      </c>
      <c r="N7" s="435">
        <v>158800</v>
      </c>
      <c r="O7" s="435">
        <v>41192</v>
      </c>
      <c r="P7" s="439"/>
      <c r="Q7" s="435"/>
    </row>
    <row r="8" spans="1:17" ht="36" customHeight="1">
      <c r="A8" s="437">
        <v>4</v>
      </c>
      <c r="B8" s="440" t="s">
        <v>1052</v>
      </c>
      <c r="C8" s="441">
        <v>149992</v>
      </c>
      <c r="D8" s="441"/>
      <c r="E8" s="441"/>
      <c r="F8" s="430">
        <f t="shared" si="0"/>
        <v>149992</v>
      </c>
      <c r="G8" s="435">
        <v>4639</v>
      </c>
      <c r="H8" s="430">
        <f t="shared" si="1"/>
        <v>154631</v>
      </c>
      <c r="I8" s="431">
        <v>7969</v>
      </c>
      <c r="J8" s="432">
        <v>146662</v>
      </c>
      <c r="K8" s="441"/>
      <c r="L8" s="441"/>
      <c r="M8" s="441">
        <v>146662</v>
      </c>
      <c r="N8" s="435">
        <v>7969</v>
      </c>
      <c r="O8" s="435">
        <v>142023</v>
      </c>
      <c r="P8" s="439"/>
      <c r="Q8" s="435"/>
    </row>
    <row r="9" spans="1:18" ht="78" customHeight="1">
      <c r="A9" s="437">
        <v>5</v>
      </c>
      <c r="B9" s="438" t="s">
        <v>1058</v>
      </c>
      <c r="C9" s="430">
        <v>997000</v>
      </c>
      <c r="D9" s="430"/>
      <c r="E9" s="430"/>
      <c r="F9" s="430">
        <f t="shared" si="0"/>
        <v>997000</v>
      </c>
      <c r="G9" s="435"/>
      <c r="H9" s="430">
        <f t="shared" si="1"/>
        <v>997000</v>
      </c>
      <c r="I9" s="431">
        <v>41430</v>
      </c>
      <c r="J9" s="432">
        <v>951570</v>
      </c>
      <c r="K9" s="430"/>
      <c r="L9" s="430"/>
      <c r="M9" s="430">
        <v>951570</v>
      </c>
      <c r="N9" s="435">
        <v>22388</v>
      </c>
      <c r="O9" s="435">
        <v>970612</v>
      </c>
      <c r="P9" s="439">
        <v>4000</v>
      </c>
      <c r="Q9" s="435">
        <v>4000</v>
      </c>
      <c r="R9" s="442"/>
    </row>
    <row r="10" spans="1:17" ht="37.5" customHeight="1">
      <c r="A10" s="437">
        <v>6</v>
      </c>
      <c r="B10" s="438" t="s">
        <v>1041</v>
      </c>
      <c r="C10" s="430">
        <v>950000</v>
      </c>
      <c r="D10" s="430"/>
      <c r="E10" s="430"/>
      <c r="F10" s="430">
        <f t="shared" si="0"/>
        <v>950000</v>
      </c>
      <c r="G10" s="435"/>
      <c r="H10" s="430">
        <f t="shared" si="1"/>
        <v>950000</v>
      </c>
      <c r="I10" s="431">
        <v>36159</v>
      </c>
      <c r="J10" s="432">
        <v>913841</v>
      </c>
      <c r="K10" s="430"/>
      <c r="L10" s="430"/>
      <c r="M10" s="430">
        <v>913841</v>
      </c>
      <c r="N10" s="435">
        <v>20540</v>
      </c>
      <c r="O10" s="435">
        <v>929460</v>
      </c>
      <c r="P10" s="439"/>
      <c r="Q10" s="435"/>
    </row>
    <row r="11" spans="1:17" ht="38.25" customHeight="1">
      <c r="A11" s="437">
        <v>7</v>
      </c>
      <c r="B11" s="438" t="s">
        <v>1066</v>
      </c>
      <c r="C11" s="430">
        <v>456760</v>
      </c>
      <c r="D11" s="430"/>
      <c r="E11" s="430"/>
      <c r="F11" s="430">
        <f t="shared" si="0"/>
        <v>456760</v>
      </c>
      <c r="G11" s="430"/>
      <c r="H11" s="430">
        <f t="shared" si="1"/>
        <v>456760</v>
      </c>
      <c r="I11" s="431">
        <v>39574</v>
      </c>
      <c r="J11" s="432">
        <v>392186</v>
      </c>
      <c r="K11" s="430"/>
      <c r="L11" s="430"/>
      <c r="M11" s="430">
        <v>392186</v>
      </c>
      <c r="N11" s="435">
        <v>22622</v>
      </c>
      <c r="O11" s="435">
        <v>409138</v>
      </c>
      <c r="P11" s="439">
        <v>25000</v>
      </c>
      <c r="Q11" s="435">
        <v>25000</v>
      </c>
    </row>
    <row r="12" spans="1:17" ht="39.75" customHeight="1">
      <c r="A12" s="437">
        <v>8</v>
      </c>
      <c r="B12" s="443" t="s">
        <v>1054</v>
      </c>
      <c r="C12" s="444">
        <v>349928</v>
      </c>
      <c r="D12" s="444"/>
      <c r="E12" s="444"/>
      <c r="F12" s="430">
        <f t="shared" si="0"/>
        <v>349928</v>
      </c>
      <c r="G12" s="430">
        <v>7163</v>
      </c>
      <c r="H12" s="430">
        <f t="shared" si="1"/>
        <v>357091</v>
      </c>
      <c r="I12" s="431">
        <v>33615</v>
      </c>
      <c r="J12" s="432">
        <v>323476</v>
      </c>
      <c r="K12" s="444">
        <v>12700</v>
      </c>
      <c r="L12" s="444"/>
      <c r="M12" s="444">
        <v>310776</v>
      </c>
      <c r="N12" s="435">
        <v>26466</v>
      </c>
      <c r="O12" s="435">
        <v>310762</v>
      </c>
      <c r="P12" s="439"/>
      <c r="Q12" s="435"/>
    </row>
    <row r="13" spans="1:17" ht="53.25" customHeight="1">
      <c r="A13" s="437">
        <v>9</v>
      </c>
      <c r="B13" s="443" t="s">
        <v>1053</v>
      </c>
      <c r="C13" s="444">
        <v>394925</v>
      </c>
      <c r="D13" s="444"/>
      <c r="E13" s="444"/>
      <c r="F13" s="430">
        <f t="shared" si="0"/>
        <v>394925</v>
      </c>
      <c r="G13" s="430">
        <v>6163</v>
      </c>
      <c r="H13" s="430">
        <f t="shared" si="1"/>
        <v>401088</v>
      </c>
      <c r="I13" s="431">
        <v>21325</v>
      </c>
      <c r="J13" s="432">
        <v>379763</v>
      </c>
      <c r="K13" s="444"/>
      <c r="L13" s="444"/>
      <c r="M13" s="444">
        <v>379763</v>
      </c>
      <c r="N13" s="435">
        <v>26201</v>
      </c>
      <c r="O13" s="435">
        <v>368724</v>
      </c>
      <c r="P13" s="439"/>
      <c r="Q13" s="435"/>
    </row>
    <row r="14" spans="1:17" ht="38.25" customHeight="1">
      <c r="A14" s="437">
        <v>10</v>
      </c>
      <c r="B14" s="445" t="s">
        <v>843</v>
      </c>
      <c r="C14" s="446">
        <v>1407000</v>
      </c>
      <c r="D14" s="446"/>
      <c r="E14" s="446">
        <v>124982</v>
      </c>
      <c r="F14" s="430">
        <f t="shared" si="0"/>
        <v>1531982</v>
      </c>
      <c r="G14" s="430">
        <v>2277</v>
      </c>
      <c r="H14" s="430">
        <f t="shared" si="1"/>
        <v>1534259</v>
      </c>
      <c r="I14" s="431">
        <v>1239145</v>
      </c>
      <c r="J14" s="432">
        <v>295114</v>
      </c>
      <c r="K14" s="446"/>
      <c r="L14" s="446">
        <v>56035</v>
      </c>
      <c r="M14" s="446">
        <v>239079</v>
      </c>
      <c r="N14" s="435">
        <v>349076</v>
      </c>
      <c r="O14" s="435">
        <v>1050924</v>
      </c>
      <c r="P14" s="439">
        <v>7000</v>
      </c>
      <c r="Q14" s="435"/>
    </row>
    <row r="15" spans="1:17" ht="37.5" customHeight="1">
      <c r="A15" s="437">
        <v>11</v>
      </c>
      <c r="B15" s="445" t="s">
        <v>1430</v>
      </c>
      <c r="C15" s="446">
        <v>192650</v>
      </c>
      <c r="D15" s="446"/>
      <c r="E15" s="446">
        <v>50914</v>
      </c>
      <c r="F15" s="430">
        <f t="shared" si="0"/>
        <v>243564</v>
      </c>
      <c r="G15" s="430"/>
      <c r="H15" s="430">
        <f>SUM(F15:G15)</f>
        <v>243564</v>
      </c>
      <c r="I15" s="431">
        <v>35800</v>
      </c>
      <c r="J15" s="432">
        <v>207764</v>
      </c>
      <c r="K15" s="446"/>
      <c r="L15" s="446">
        <v>44170</v>
      </c>
      <c r="M15" s="446">
        <v>163594</v>
      </c>
      <c r="N15" s="435">
        <v>298005</v>
      </c>
      <c r="O15" s="435">
        <v>176995</v>
      </c>
      <c r="P15" s="439">
        <v>25000</v>
      </c>
      <c r="Q15" s="435"/>
    </row>
    <row r="16" spans="1:17" ht="50.25" customHeight="1">
      <c r="A16" s="437">
        <v>12</v>
      </c>
      <c r="B16" s="445" t="s">
        <v>1043</v>
      </c>
      <c r="C16" s="446">
        <v>193015</v>
      </c>
      <c r="D16" s="446"/>
      <c r="E16" s="446"/>
      <c r="F16" s="430">
        <f t="shared" si="0"/>
        <v>193015</v>
      </c>
      <c r="G16" s="430">
        <v>1932</v>
      </c>
      <c r="H16" s="430">
        <f t="shared" si="1"/>
        <v>194947</v>
      </c>
      <c r="I16" s="431">
        <v>27912</v>
      </c>
      <c r="J16" s="432">
        <v>167035</v>
      </c>
      <c r="K16" s="446"/>
      <c r="L16" s="446"/>
      <c r="M16" s="446">
        <v>167035</v>
      </c>
      <c r="N16" s="435">
        <v>11838</v>
      </c>
      <c r="O16" s="435">
        <v>181177</v>
      </c>
      <c r="P16" s="439">
        <v>6985</v>
      </c>
      <c r="Q16" s="435"/>
    </row>
    <row r="17" spans="1:17" ht="65.25" customHeight="1">
      <c r="A17" s="437">
        <v>13</v>
      </c>
      <c r="B17" s="447" t="s">
        <v>1065</v>
      </c>
      <c r="C17" s="446">
        <v>83320</v>
      </c>
      <c r="D17" s="446"/>
      <c r="E17" s="446"/>
      <c r="F17" s="430">
        <f t="shared" si="0"/>
        <v>83320</v>
      </c>
      <c r="G17" s="430"/>
      <c r="H17" s="430">
        <f t="shared" si="1"/>
        <v>83320</v>
      </c>
      <c r="I17" s="431">
        <v>71238</v>
      </c>
      <c r="J17" s="432">
        <v>12082</v>
      </c>
      <c r="K17" s="446"/>
      <c r="L17" s="446"/>
      <c r="M17" s="446">
        <v>12082</v>
      </c>
      <c r="N17" s="435">
        <v>54580</v>
      </c>
      <c r="O17" s="435">
        <v>28740</v>
      </c>
      <c r="P17" s="439"/>
      <c r="Q17" s="435"/>
    </row>
    <row r="18" spans="1:17" ht="37.5" customHeight="1">
      <c r="A18" s="437">
        <v>14</v>
      </c>
      <c r="B18" s="447" t="s">
        <v>1055</v>
      </c>
      <c r="C18" s="446">
        <v>232000</v>
      </c>
      <c r="D18" s="446"/>
      <c r="E18" s="446"/>
      <c r="F18" s="430">
        <f t="shared" si="0"/>
        <v>232000</v>
      </c>
      <c r="G18" s="430">
        <v>7671</v>
      </c>
      <c r="H18" s="430">
        <f>SUM(F18:G18)</f>
        <v>239671</v>
      </c>
      <c r="I18" s="431">
        <v>159946</v>
      </c>
      <c r="J18" s="432">
        <v>79725</v>
      </c>
      <c r="K18" s="446"/>
      <c r="L18" s="446"/>
      <c r="M18" s="446">
        <v>79725</v>
      </c>
      <c r="N18" s="435">
        <v>12179</v>
      </c>
      <c r="O18" s="435">
        <v>209269</v>
      </c>
      <c r="P18" s="439">
        <v>10552</v>
      </c>
      <c r="Q18" s="435"/>
    </row>
    <row r="19" spans="1:17" ht="63" customHeight="1">
      <c r="A19" s="437">
        <v>15</v>
      </c>
      <c r="B19" s="447" t="s">
        <v>1056</v>
      </c>
      <c r="C19" s="446">
        <v>238749</v>
      </c>
      <c r="D19" s="446"/>
      <c r="E19" s="446"/>
      <c r="F19" s="430">
        <f t="shared" si="0"/>
        <v>238749</v>
      </c>
      <c r="G19" s="430">
        <v>30689</v>
      </c>
      <c r="H19" s="430">
        <f>SUM(F19:G19)</f>
        <v>269438</v>
      </c>
      <c r="I19" s="431">
        <v>268339</v>
      </c>
      <c r="J19" s="432">
        <v>1099</v>
      </c>
      <c r="K19" s="446"/>
      <c r="L19" s="446"/>
      <c r="M19" s="446">
        <v>1099</v>
      </c>
      <c r="N19" s="435">
        <v>122348</v>
      </c>
      <c r="O19" s="435">
        <v>116401</v>
      </c>
      <c r="P19" s="439"/>
      <c r="Q19" s="435"/>
    </row>
    <row r="20" spans="1:17" ht="35.25" customHeight="1">
      <c r="A20" s="437">
        <v>16</v>
      </c>
      <c r="B20" s="447" t="s">
        <v>1057</v>
      </c>
      <c r="C20" s="446">
        <v>97689</v>
      </c>
      <c r="D20" s="446"/>
      <c r="E20" s="446"/>
      <c r="F20" s="430">
        <f t="shared" si="0"/>
        <v>97689</v>
      </c>
      <c r="G20" s="430">
        <v>12967</v>
      </c>
      <c r="H20" s="430">
        <f t="shared" si="1"/>
        <v>110656</v>
      </c>
      <c r="I20" s="431">
        <v>109051</v>
      </c>
      <c r="J20" s="432">
        <v>1605</v>
      </c>
      <c r="K20" s="446"/>
      <c r="L20" s="446"/>
      <c r="M20" s="446">
        <v>1605</v>
      </c>
      <c r="N20" s="435">
        <v>96084</v>
      </c>
      <c r="O20" s="435">
        <v>1605</v>
      </c>
      <c r="P20" s="439"/>
      <c r="Q20" s="435"/>
    </row>
    <row r="21" spans="1:18" s="449" customFormat="1" ht="53.25" customHeight="1">
      <c r="A21" s="437">
        <v>17</v>
      </c>
      <c r="B21" s="447" t="s">
        <v>1049</v>
      </c>
      <c r="C21" s="446">
        <v>149996</v>
      </c>
      <c r="D21" s="446"/>
      <c r="E21" s="446"/>
      <c r="F21" s="430">
        <f t="shared" si="0"/>
        <v>149996</v>
      </c>
      <c r="G21" s="430">
        <v>4471</v>
      </c>
      <c r="H21" s="430">
        <f t="shared" si="1"/>
        <v>154467</v>
      </c>
      <c r="I21" s="431">
        <v>137589</v>
      </c>
      <c r="J21" s="432">
        <v>2908</v>
      </c>
      <c r="K21" s="446">
        <v>2862</v>
      </c>
      <c r="L21" s="446"/>
      <c r="M21" s="446">
        <v>46</v>
      </c>
      <c r="N21" s="435">
        <v>71601</v>
      </c>
      <c r="O21" s="435">
        <v>75533</v>
      </c>
      <c r="P21" s="439"/>
      <c r="Q21" s="435">
        <v>13970</v>
      </c>
      <c r="R21" s="448"/>
    </row>
    <row r="22" spans="1:18" s="449" customFormat="1" ht="36" customHeight="1">
      <c r="A22" s="437">
        <v>18</v>
      </c>
      <c r="B22" s="447" t="s">
        <v>1048</v>
      </c>
      <c r="C22" s="446">
        <v>314061</v>
      </c>
      <c r="D22" s="446"/>
      <c r="E22" s="446"/>
      <c r="F22" s="430">
        <f t="shared" si="0"/>
        <v>314061</v>
      </c>
      <c r="G22" s="430">
        <v>21333</v>
      </c>
      <c r="H22" s="430">
        <v>335394</v>
      </c>
      <c r="I22" s="431">
        <v>332486</v>
      </c>
      <c r="J22" s="432">
        <v>2908</v>
      </c>
      <c r="K22" s="446">
        <v>2908</v>
      </c>
      <c r="L22" s="446"/>
      <c r="M22" s="446"/>
      <c r="N22" s="435">
        <v>171739</v>
      </c>
      <c r="O22" s="435">
        <v>142322</v>
      </c>
      <c r="P22" s="439"/>
      <c r="Q22" s="435"/>
      <c r="R22" s="448"/>
    </row>
    <row r="23" spans="1:18" s="449" customFormat="1" ht="38.25" customHeight="1">
      <c r="A23" s="437">
        <v>19</v>
      </c>
      <c r="B23" s="447" t="s">
        <v>1044</v>
      </c>
      <c r="C23" s="446">
        <v>204988</v>
      </c>
      <c r="D23" s="446"/>
      <c r="E23" s="446"/>
      <c r="F23" s="430">
        <f t="shared" si="0"/>
        <v>204988</v>
      </c>
      <c r="G23" s="430">
        <v>6157</v>
      </c>
      <c r="H23" s="430">
        <f t="shared" si="1"/>
        <v>211145</v>
      </c>
      <c r="I23" s="431">
        <v>189048</v>
      </c>
      <c r="J23" s="432">
        <v>3047</v>
      </c>
      <c r="K23" s="446"/>
      <c r="L23" s="446"/>
      <c r="M23" s="446">
        <v>3047</v>
      </c>
      <c r="N23" s="435">
        <v>137617</v>
      </c>
      <c r="O23" s="435">
        <v>48321</v>
      </c>
      <c r="P23" s="439">
        <v>19050</v>
      </c>
      <c r="Q23" s="435">
        <v>19050</v>
      </c>
      <c r="R23" s="448"/>
    </row>
    <row r="24" spans="1:17" ht="27.75" customHeight="1">
      <c r="A24" s="437">
        <v>20</v>
      </c>
      <c r="B24" s="30" t="s">
        <v>960</v>
      </c>
      <c r="C24" s="144">
        <v>1100000</v>
      </c>
      <c r="D24" s="144"/>
      <c r="E24" s="144"/>
      <c r="F24" s="430">
        <f t="shared" si="0"/>
        <v>1100000</v>
      </c>
      <c r="G24" s="430">
        <v>1181</v>
      </c>
      <c r="H24" s="430">
        <f t="shared" si="1"/>
        <v>1101181</v>
      </c>
      <c r="I24" s="431">
        <v>1181</v>
      </c>
      <c r="J24" s="432">
        <v>1088000</v>
      </c>
      <c r="K24" s="144">
        <v>1088000</v>
      </c>
      <c r="L24" s="144"/>
      <c r="M24" s="144"/>
      <c r="N24" s="435"/>
      <c r="O24" s="435">
        <v>1088000</v>
      </c>
      <c r="P24" s="439">
        <v>12000</v>
      </c>
      <c r="Q24" s="435">
        <v>12000</v>
      </c>
    </row>
    <row r="25" spans="1:18" s="449" customFormat="1" ht="41.25" customHeight="1">
      <c r="A25" s="437">
        <v>21</v>
      </c>
      <c r="B25" s="450" t="s">
        <v>1063</v>
      </c>
      <c r="C25" s="446">
        <v>1300000</v>
      </c>
      <c r="D25" s="446"/>
      <c r="E25" s="446"/>
      <c r="F25" s="430">
        <f t="shared" si="0"/>
        <v>1300000</v>
      </c>
      <c r="G25" s="430"/>
      <c r="H25" s="430">
        <f t="shared" si="1"/>
        <v>1300000</v>
      </c>
      <c r="I25" s="431">
        <v>22142</v>
      </c>
      <c r="J25" s="432">
        <v>1275052</v>
      </c>
      <c r="K25" s="446">
        <v>736422</v>
      </c>
      <c r="L25" s="446"/>
      <c r="M25" s="446">
        <v>538630</v>
      </c>
      <c r="N25" s="435"/>
      <c r="O25" s="435">
        <v>1297194</v>
      </c>
      <c r="P25" s="439">
        <v>2806</v>
      </c>
      <c r="Q25" s="435">
        <v>2806</v>
      </c>
      <c r="R25" s="448"/>
    </row>
    <row r="26" spans="1:18" s="449" customFormat="1" ht="36" customHeight="1">
      <c r="A26" s="437">
        <v>22</v>
      </c>
      <c r="B26" s="451" t="s">
        <v>982</v>
      </c>
      <c r="C26" s="452">
        <v>317000</v>
      </c>
      <c r="D26" s="453"/>
      <c r="E26" s="452">
        <v>85590</v>
      </c>
      <c r="F26" s="430">
        <f t="shared" si="0"/>
        <v>402590</v>
      </c>
      <c r="G26" s="430"/>
      <c r="H26" s="430">
        <v>402590</v>
      </c>
      <c r="I26" s="431">
        <v>16490</v>
      </c>
      <c r="J26" s="432">
        <v>386100</v>
      </c>
      <c r="K26" s="454"/>
      <c r="L26" s="454">
        <v>82084</v>
      </c>
      <c r="M26" s="454">
        <v>304016</v>
      </c>
      <c r="N26" s="435"/>
      <c r="O26" s="435">
        <v>317000</v>
      </c>
      <c r="P26" s="439"/>
      <c r="Q26" s="435"/>
      <c r="R26" s="448"/>
    </row>
    <row r="27" spans="1:18" s="449" customFormat="1" ht="24" customHeight="1">
      <c r="A27" s="437">
        <v>23</v>
      </c>
      <c r="B27" s="455" t="s">
        <v>1431</v>
      </c>
      <c r="C27" s="452">
        <v>1393486</v>
      </c>
      <c r="D27" s="446"/>
      <c r="E27" s="452">
        <v>362792</v>
      </c>
      <c r="F27" s="430">
        <f>SUM(C27:E27)</f>
        <v>1756278</v>
      </c>
      <c r="G27" s="430"/>
      <c r="H27" s="430">
        <f>SUM(F27:G27)</f>
        <v>1756278</v>
      </c>
      <c r="I27" s="431">
        <v>11925</v>
      </c>
      <c r="J27" s="432">
        <v>1699799</v>
      </c>
      <c r="K27" s="446"/>
      <c r="L27" s="446">
        <v>360470</v>
      </c>
      <c r="M27" s="446">
        <v>1339329</v>
      </c>
      <c r="N27" s="435"/>
      <c r="O27" s="435">
        <v>1348932</v>
      </c>
      <c r="P27" s="439">
        <v>44554</v>
      </c>
      <c r="Q27" s="435">
        <v>44554</v>
      </c>
      <c r="R27" s="448"/>
    </row>
    <row r="28" spans="1:18" s="449" customFormat="1" ht="36" customHeight="1">
      <c r="A28" s="437">
        <v>24</v>
      </c>
      <c r="B28" s="456" t="s">
        <v>1432</v>
      </c>
      <c r="C28" s="452">
        <v>600000</v>
      </c>
      <c r="D28" s="453"/>
      <c r="E28" s="452">
        <v>159758</v>
      </c>
      <c r="F28" s="430">
        <f t="shared" si="0"/>
        <v>759758</v>
      </c>
      <c r="G28" s="430"/>
      <c r="H28" s="430">
        <f>SUM(F28:G28)</f>
        <v>759758</v>
      </c>
      <c r="I28" s="431">
        <v>29498</v>
      </c>
      <c r="J28" s="432">
        <v>722260</v>
      </c>
      <c r="K28" s="454"/>
      <c r="L28" s="454">
        <v>153551</v>
      </c>
      <c r="M28" s="454">
        <v>568709</v>
      </c>
      <c r="N28" s="435"/>
      <c r="O28" s="435">
        <v>592000</v>
      </c>
      <c r="P28" s="439">
        <v>8000</v>
      </c>
      <c r="Q28" s="435">
        <v>8000</v>
      </c>
      <c r="R28" s="448"/>
    </row>
    <row r="29" spans="1:18" s="449" customFormat="1" ht="37.5" customHeight="1">
      <c r="A29" s="437">
        <v>25</v>
      </c>
      <c r="B29" s="307" t="s">
        <v>662</v>
      </c>
      <c r="C29" s="452">
        <v>284132</v>
      </c>
      <c r="D29" s="144"/>
      <c r="E29" s="452"/>
      <c r="F29" s="430">
        <f t="shared" si="0"/>
        <v>284132</v>
      </c>
      <c r="G29" s="430"/>
      <c r="H29" s="430">
        <f t="shared" si="1"/>
        <v>284132</v>
      </c>
      <c r="I29" s="431">
        <v>4110</v>
      </c>
      <c r="J29" s="432">
        <v>277506</v>
      </c>
      <c r="K29" s="144"/>
      <c r="L29" s="144"/>
      <c r="M29" s="144">
        <v>277506</v>
      </c>
      <c r="N29" s="435"/>
      <c r="O29" s="435">
        <v>281616</v>
      </c>
      <c r="P29" s="439">
        <v>2516</v>
      </c>
      <c r="Q29" s="435">
        <v>2516</v>
      </c>
      <c r="R29" s="457"/>
    </row>
    <row r="30" spans="1:18" s="449" customFormat="1" ht="38.25" customHeight="1">
      <c r="A30" s="437">
        <v>26</v>
      </c>
      <c r="B30" s="458" t="s">
        <v>663</v>
      </c>
      <c r="C30" s="459">
        <v>10795</v>
      </c>
      <c r="D30" s="460"/>
      <c r="E30" s="459"/>
      <c r="F30" s="430">
        <f t="shared" si="0"/>
        <v>10795</v>
      </c>
      <c r="G30" s="430"/>
      <c r="H30" s="430">
        <f t="shared" si="1"/>
        <v>10795</v>
      </c>
      <c r="I30" s="431">
        <v>7988</v>
      </c>
      <c r="J30" s="432">
        <v>2807</v>
      </c>
      <c r="K30" s="461"/>
      <c r="L30" s="461"/>
      <c r="M30" s="461">
        <v>2807</v>
      </c>
      <c r="N30" s="435"/>
      <c r="O30" s="435">
        <v>10795</v>
      </c>
      <c r="P30" s="439"/>
      <c r="Q30" s="435"/>
      <c r="R30" s="448"/>
    </row>
    <row r="31" spans="1:18" s="449" customFormat="1" ht="38.25" customHeight="1">
      <c r="A31" s="437">
        <v>27</v>
      </c>
      <c r="B31" s="451" t="s">
        <v>1433</v>
      </c>
      <c r="C31" s="462">
        <v>119993</v>
      </c>
      <c r="D31" s="453"/>
      <c r="E31" s="452"/>
      <c r="F31" s="430">
        <f t="shared" si="0"/>
        <v>119993</v>
      </c>
      <c r="G31" s="430">
        <v>14422</v>
      </c>
      <c r="H31" s="463">
        <v>134415</v>
      </c>
      <c r="I31" s="464">
        <v>540</v>
      </c>
      <c r="J31" s="432">
        <v>133875</v>
      </c>
      <c r="K31" s="454">
        <v>47030</v>
      </c>
      <c r="L31" s="454">
        <v>14422</v>
      </c>
      <c r="M31" s="454">
        <v>72423</v>
      </c>
      <c r="N31" s="435"/>
      <c r="O31" s="435">
        <v>119993</v>
      </c>
      <c r="P31" s="439"/>
      <c r="Q31" s="435"/>
      <c r="R31" s="448"/>
    </row>
    <row r="32" spans="1:18" s="449" customFormat="1" ht="17.25" customHeight="1">
      <c r="A32" s="437">
        <v>28</v>
      </c>
      <c r="B32" s="465" t="s">
        <v>1273</v>
      </c>
      <c r="C32" s="453">
        <v>29112</v>
      </c>
      <c r="D32" s="453">
        <v>1498</v>
      </c>
      <c r="E32" s="453"/>
      <c r="F32" s="430">
        <f t="shared" si="0"/>
        <v>30610</v>
      </c>
      <c r="G32" s="466"/>
      <c r="H32" s="430">
        <f>SUM(F32:G32)</f>
        <v>30610</v>
      </c>
      <c r="I32" s="431">
        <v>1963</v>
      </c>
      <c r="J32" s="432">
        <v>28647</v>
      </c>
      <c r="K32" s="454"/>
      <c r="L32" s="454">
        <v>3</v>
      </c>
      <c r="M32" s="454">
        <v>28644</v>
      </c>
      <c r="N32" s="435"/>
      <c r="O32" s="435"/>
      <c r="P32" s="439"/>
      <c r="Q32" s="435"/>
      <c r="R32" s="448"/>
    </row>
    <row r="33" spans="1:18" s="449" customFormat="1" ht="24" customHeight="1">
      <c r="A33" s="437">
        <v>29</v>
      </c>
      <c r="B33" s="467" t="s">
        <v>77</v>
      </c>
      <c r="C33" s="459">
        <v>4982</v>
      </c>
      <c r="D33" s="468"/>
      <c r="E33" s="468"/>
      <c r="F33" s="430">
        <f t="shared" si="0"/>
        <v>4982</v>
      </c>
      <c r="G33" s="430"/>
      <c r="H33" s="469">
        <f t="shared" si="1"/>
        <v>4982</v>
      </c>
      <c r="I33" s="470"/>
      <c r="J33" s="432">
        <v>4982</v>
      </c>
      <c r="K33" s="454">
        <v>4982</v>
      </c>
      <c r="L33" s="454"/>
      <c r="M33" s="454"/>
      <c r="N33" s="435"/>
      <c r="O33" s="435"/>
      <c r="P33" s="439"/>
      <c r="Q33" s="435"/>
      <c r="R33" s="448"/>
    </row>
    <row r="34" spans="1:18" s="449" customFormat="1" ht="29.25" customHeight="1">
      <c r="A34" s="437">
        <v>30</v>
      </c>
      <c r="B34" s="120" t="s">
        <v>961</v>
      </c>
      <c r="C34" s="403">
        <v>41155</v>
      </c>
      <c r="D34" s="403">
        <v>2163</v>
      </c>
      <c r="E34" s="403"/>
      <c r="F34" s="430">
        <f t="shared" si="0"/>
        <v>43318</v>
      </c>
      <c r="G34" s="430"/>
      <c r="H34" s="430">
        <v>43318</v>
      </c>
      <c r="I34" s="431">
        <v>906</v>
      </c>
      <c r="J34" s="432">
        <v>42412</v>
      </c>
      <c r="K34" s="144">
        <v>41155</v>
      </c>
      <c r="L34" s="144">
        <v>1257</v>
      </c>
      <c r="M34" s="144"/>
      <c r="N34" s="435"/>
      <c r="O34" s="435"/>
      <c r="P34" s="439"/>
      <c r="Q34" s="435"/>
      <c r="R34" s="448"/>
    </row>
    <row r="35" spans="1:18" s="449" customFormat="1" ht="51" customHeight="1">
      <c r="A35" s="437">
        <v>31</v>
      </c>
      <c r="B35" s="467" t="s">
        <v>487</v>
      </c>
      <c r="C35" s="468">
        <v>282350</v>
      </c>
      <c r="D35" s="468"/>
      <c r="E35" s="459">
        <v>76235</v>
      </c>
      <c r="F35" s="430">
        <f t="shared" si="0"/>
        <v>358585</v>
      </c>
      <c r="G35" s="430"/>
      <c r="H35" s="430">
        <f t="shared" si="1"/>
        <v>358585</v>
      </c>
      <c r="I35" s="431"/>
      <c r="J35" s="146">
        <v>358585</v>
      </c>
      <c r="K35" s="454">
        <v>282350</v>
      </c>
      <c r="L35" s="454">
        <v>76235</v>
      </c>
      <c r="M35" s="454"/>
      <c r="N35" s="435"/>
      <c r="O35" s="435"/>
      <c r="P35" s="439"/>
      <c r="Q35" s="435"/>
      <c r="R35" s="448"/>
    </row>
    <row r="36" spans="1:18" s="449" customFormat="1" ht="29.25" customHeight="1">
      <c r="A36" s="437">
        <v>32</v>
      </c>
      <c r="B36" s="471" t="s">
        <v>488</v>
      </c>
      <c r="C36" s="472">
        <v>256500</v>
      </c>
      <c r="D36" s="472"/>
      <c r="E36" s="473"/>
      <c r="F36" s="430">
        <f t="shared" si="0"/>
        <v>256500</v>
      </c>
      <c r="G36" s="430"/>
      <c r="H36" s="430">
        <f t="shared" si="1"/>
        <v>256500</v>
      </c>
      <c r="I36" s="431">
        <v>8464</v>
      </c>
      <c r="J36" s="146">
        <v>248036</v>
      </c>
      <c r="K36" s="474"/>
      <c r="L36" s="474"/>
      <c r="M36" s="474">
        <v>248036</v>
      </c>
      <c r="N36" s="435"/>
      <c r="O36" s="435"/>
      <c r="P36" s="439"/>
      <c r="Q36" s="435"/>
      <c r="R36" s="448"/>
    </row>
    <row r="37" spans="1:18" s="449" customFormat="1" ht="29.25" customHeight="1">
      <c r="A37" s="437">
        <v>33</v>
      </c>
      <c r="B37" s="471" t="s">
        <v>489</v>
      </c>
      <c r="C37" s="472">
        <v>256600</v>
      </c>
      <c r="D37" s="472"/>
      <c r="E37" s="473"/>
      <c r="F37" s="430">
        <f t="shared" si="0"/>
        <v>256600</v>
      </c>
      <c r="G37" s="430"/>
      <c r="H37" s="430">
        <f t="shared" si="1"/>
        <v>256600</v>
      </c>
      <c r="I37" s="431">
        <v>12319</v>
      </c>
      <c r="J37" s="146">
        <v>244281</v>
      </c>
      <c r="K37" s="474"/>
      <c r="L37" s="474"/>
      <c r="M37" s="474">
        <v>244281</v>
      </c>
      <c r="N37" s="435"/>
      <c r="O37" s="435"/>
      <c r="P37" s="439"/>
      <c r="Q37" s="435"/>
      <c r="R37" s="448"/>
    </row>
    <row r="38" spans="1:18" s="449" customFormat="1" ht="29.25" customHeight="1">
      <c r="A38" s="437">
        <v>34</v>
      </c>
      <c r="B38" s="471" t="s">
        <v>490</v>
      </c>
      <c r="C38" s="472">
        <v>254600</v>
      </c>
      <c r="D38" s="472"/>
      <c r="E38" s="473"/>
      <c r="F38" s="430">
        <f t="shared" si="0"/>
        <v>254600</v>
      </c>
      <c r="G38" s="430"/>
      <c r="H38" s="430">
        <f t="shared" si="1"/>
        <v>254600</v>
      </c>
      <c r="I38" s="431">
        <v>11430</v>
      </c>
      <c r="J38" s="146">
        <v>243170</v>
      </c>
      <c r="K38" s="474"/>
      <c r="L38" s="474"/>
      <c r="M38" s="474">
        <v>243170</v>
      </c>
      <c r="N38" s="435"/>
      <c r="O38" s="435"/>
      <c r="P38" s="439"/>
      <c r="Q38" s="435"/>
      <c r="R38" s="448"/>
    </row>
    <row r="39" spans="1:18" s="449" customFormat="1" ht="36.75" customHeight="1">
      <c r="A39" s="437">
        <v>35</v>
      </c>
      <c r="B39" s="475" t="s">
        <v>1434</v>
      </c>
      <c r="C39" s="459">
        <v>1663128</v>
      </c>
      <c r="D39" s="476"/>
      <c r="E39" s="459">
        <v>449045</v>
      </c>
      <c r="F39" s="430">
        <f t="shared" si="0"/>
        <v>2112173</v>
      </c>
      <c r="G39" s="430"/>
      <c r="H39" s="430">
        <f t="shared" si="1"/>
        <v>2112173</v>
      </c>
      <c r="I39" s="431"/>
      <c r="J39" s="146">
        <v>2112173</v>
      </c>
      <c r="K39" s="144">
        <v>1663128</v>
      </c>
      <c r="L39" s="144">
        <v>449045</v>
      </c>
      <c r="M39" s="144"/>
      <c r="N39" s="435"/>
      <c r="O39" s="435"/>
      <c r="P39" s="439"/>
      <c r="Q39" s="435"/>
      <c r="R39" s="448"/>
    </row>
    <row r="40" spans="1:17" ht="24" customHeight="1">
      <c r="A40" s="477"/>
      <c r="B40" s="478" t="s">
        <v>1435</v>
      </c>
      <c r="C40" s="479">
        <f>SUM(C5:C39)</f>
        <v>15237869</v>
      </c>
      <c r="D40" s="479">
        <f>SUM(D5:D39)</f>
        <v>3661</v>
      </c>
      <c r="E40" s="479">
        <f>SUM(E5:E39)</f>
        <v>1309316</v>
      </c>
      <c r="F40" s="480">
        <f t="shared" si="0"/>
        <v>16550846</v>
      </c>
      <c r="G40" s="480">
        <f aca="true" t="shared" si="2" ref="G40:M40">SUM(G5:G39)</f>
        <v>162560</v>
      </c>
      <c r="H40" s="480">
        <f t="shared" si="2"/>
        <v>16713406</v>
      </c>
      <c r="I40" s="480">
        <f>SUM(I4:I39)</f>
        <v>3816224</v>
      </c>
      <c r="J40" s="480">
        <f t="shared" si="2"/>
        <v>12765286</v>
      </c>
      <c r="K40" s="480">
        <f t="shared" si="2"/>
        <v>3881537</v>
      </c>
      <c r="L40" s="480">
        <f t="shared" si="2"/>
        <v>1239869</v>
      </c>
      <c r="M40" s="480">
        <f t="shared" si="2"/>
        <v>7643880</v>
      </c>
      <c r="N40" s="479">
        <f>SUM(N5:N31)</f>
        <v>2182472</v>
      </c>
      <c r="O40" s="479">
        <f>SUM(O5:O31)</f>
        <v>10398280</v>
      </c>
      <c r="P40" s="481">
        <f>SUM(P5:P31)</f>
        <v>167463</v>
      </c>
      <c r="Q40" s="479">
        <f>SUM(Q4:Q39)</f>
        <v>131896</v>
      </c>
    </row>
    <row r="41" spans="1:17" ht="24" customHeight="1">
      <c r="A41" s="477"/>
      <c r="B41" s="482" t="s">
        <v>1436</v>
      </c>
      <c r="C41" s="483"/>
      <c r="D41" s="483"/>
      <c r="E41" s="483"/>
      <c r="F41" s="484"/>
      <c r="G41" s="484"/>
      <c r="H41" s="484"/>
      <c r="I41" s="485"/>
      <c r="J41" s="486"/>
      <c r="K41" s="483"/>
      <c r="L41" s="483"/>
      <c r="M41" s="483"/>
      <c r="N41" s="487"/>
      <c r="O41" s="487"/>
      <c r="P41" s="488"/>
      <c r="Q41" s="487"/>
    </row>
    <row r="42" spans="1:17" ht="17.25" customHeight="1">
      <c r="A42" s="437"/>
      <c r="B42" s="489" t="s">
        <v>1437</v>
      </c>
      <c r="C42" s="490"/>
      <c r="D42" s="490"/>
      <c r="E42" s="490"/>
      <c r="F42" s="430"/>
      <c r="G42" s="430"/>
      <c r="H42" s="430"/>
      <c r="I42" s="431"/>
      <c r="J42" s="491"/>
      <c r="K42" s="490"/>
      <c r="L42" s="490"/>
      <c r="M42" s="490"/>
      <c r="N42" s="492"/>
      <c r="O42" s="493"/>
      <c r="P42" s="494"/>
      <c r="Q42" s="493"/>
    </row>
    <row r="43" spans="1:17" ht="51.75" customHeight="1">
      <c r="A43" s="437">
        <v>36</v>
      </c>
      <c r="B43" s="495" t="s">
        <v>1438</v>
      </c>
      <c r="C43" s="11">
        <v>39999</v>
      </c>
      <c r="D43" s="11"/>
      <c r="E43" s="11"/>
      <c r="F43" s="496">
        <f>SUM(C43:E43)</f>
        <v>39999</v>
      </c>
      <c r="G43" s="496"/>
      <c r="H43" s="496">
        <f>SUM(F43:G43)</f>
        <v>39999</v>
      </c>
      <c r="I43" s="497">
        <v>27788</v>
      </c>
      <c r="J43" s="71">
        <v>12211</v>
      </c>
      <c r="K43" s="11"/>
      <c r="L43" s="11"/>
      <c r="M43" s="11">
        <v>12211</v>
      </c>
      <c r="N43" s="498"/>
      <c r="O43" s="499">
        <v>39999</v>
      </c>
      <c r="P43" s="500"/>
      <c r="Q43" s="499"/>
    </row>
    <row r="44" spans="1:17" ht="18.75" customHeight="1">
      <c r="A44" s="437"/>
      <c r="B44" s="501" t="s">
        <v>1439</v>
      </c>
      <c r="C44" s="11"/>
      <c r="D44" s="11"/>
      <c r="E44" s="11"/>
      <c r="F44" s="496"/>
      <c r="G44" s="496"/>
      <c r="H44" s="496"/>
      <c r="I44" s="497"/>
      <c r="J44" s="71"/>
      <c r="K44" s="11"/>
      <c r="L44" s="11"/>
      <c r="M44" s="11"/>
      <c r="N44" s="498"/>
      <c r="O44" s="499"/>
      <c r="P44" s="500"/>
      <c r="Q44" s="499"/>
    </row>
    <row r="45" spans="1:17" ht="27.75" customHeight="1">
      <c r="A45" s="437">
        <v>37</v>
      </c>
      <c r="B45" s="502" t="s">
        <v>1440</v>
      </c>
      <c r="C45" s="11">
        <v>21300</v>
      </c>
      <c r="D45" s="11"/>
      <c r="E45" s="11"/>
      <c r="F45" s="496">
        <f>SUM(C45:E45)</f>
        <v>21300</v>
      </c>
      <c r="G45" s="496"/>
      <c r="H45" s="496">
        <f aca="true" t="shared" si="3" ref="H45:H54">SUM(F45:G45)</f>
        <v>21300</v>
      </c>
      <c r="I45" s="497">
        <v>9412</v>
      </c>
      <c r="J45" s="71">
        <v>11888</v>
      </c>
      <c r="K45" s="11"/>
      <c r="L45" s="11"/>
      <c r="M45" s="11">
        <v>11888</v>
      </c>
      <c r="N45" s="498"/>
      <c r="O45" s="499"/>
      <c r="P45" s="500"/>
      <c r="Q45" s="499"/>
    </row>
    <row r="46" spans="1:17" ht="25.5" customHeight="1">
      <c r="A46" s="437">
        <v>38</v>
      </c>
      <c r="B46" s="495" t="s">
        <v>1441</v>
      </c>
      <c r="C46" s="11">
        <v>23813</v>
      </c>
      <c r="D46" s="11"/>
      <c r="E46" s="11"/>
      <c r="F46" s="496">
        <f>SUM(C46:E46)</f>
        <v>23813</v>
      </c>
      <c r="G46" s="496"/>
      <c r="H46" s="496">
        <f t="shared" si="3"/>
        <v>23813</v>
      </c>
      <c r="I46" s="497">
        <v>7577</v>
      </c>
      <c r="J46" s="71">
        <v>16236</v>
      </c>
      <c r="K46" s="11"/>
      <c r="L46" s="11"/>
      <c r="M46" s="11">
        <v>16236</v>
      </c>
      <c r="N46" s="498"/>
      <c r="O46" s="499"/>
      <c r="P46" s="500"/>
      <c r="Q46" s="499"/>
    </row>
    <row r="47" spans="1:17" ht="21" customHeight="1">
      <c r="A47" s="437"/>
      <c r="B47" s="501" t="s">
        <v>1442</v>
      </c>
      <c r="C47" s="11"/>
      <c r="D47" s="11"/>
      <c r="E47" s="11"/>
      <c r="F47" s="496"/>
      <c r="G47" s="496"/>
      <c r="H47" s="496"/>
      <c r="I47" s="497"/>
      <c r="J47" s="71"/>
      <c r="K47" s="11"/>
      <c r="L47" s="11"/>
      <c r="M47" s="11"/>
      <c r="N47" s="498"/>
      <c r="O47" s="499"/>
      <c r="P47" s="500"/>
      <c r="Q47" s="499"/>
    </row>
    <row r="48" spans="1:17" ht="15" customHeight="1">
      <c r="A48" s="437">
        <v>39</v>
      </c>
      <c r="B48" s="495" t="s">
        <v>1443</v>
      </c>
      <c r="C48" s="11">
        <v>24856</v>
      </c>
      <c r="D48" s="11"/>
      <c r="E48" s="11"/>
      <c r="F48" s="496">
        <f>SUM(C48:E48)</f>
        <v>24856</v>
      </c>
      <c r="G48" s="496"/>
      <c r="H48" s="496">
        <f t="shared" si="3"/>
        <v>24856</v>
      </c>
      <c r="I48" s="497">
        <v>14795</v>
      </c>
      <c r="J48" s="71">
        <v>2511</v>
      </c>
      <c r="K48" s="11"/>
      <c r="L48" s="11"/>
      <c r="M48" s="11">
        <v>2511</v>
      </c>
      <c r="N48" s="498"/>
      <c r="O48" s="499"/>
      <c r="P48" s="500"/>
      <c r="Q48" s="499">
        <v>7550</v>
      </c>
    </row>
    <row r="49" spans="1:17" ht="24">
      <c r="A49" s="437">
        <v>40</v>
      </c>
      <c r="B49" s="495" t="s">
        <v>1444</v>
      </c>
      <c r="C49" s="11">
        <v>95096</v>
      </c>
      <c r="D49" s="11"/>
      <c r="E49" s="11"/>
      <c r="F49" s="496">
        <f>SUM(C49:E49)</f>
        <v>95096</v>
      </c>
      <c r="G49" s="496"/>
      <c r="H49" s="496">
        <f t="shared" si="3"/>
        <v>95096</v>
      </c>
      <c r="I49" s="497">
        <v>17304</v>
      </c>
      <c r="J49" s="71">
        <v>29294</v>
      </c>
      <c r="K49" s="11"/>
      <c r="L49" s="11"/>
      <c r="M49" s="11">
        <v>29294</v>
      </c>
      <c r="N49" s="498"/>
      <c r="O49" s="499"/>
      <c r="P49" s="500"/>
      <c r="Q49" s="499">
        <v>48498</v>
      </c>
    </row>
    <row r="50" spans="1:17" ht="24" customHeight="1">
      <c r="A50" s="437">
        <v>41</v>
      </c>
      <c r="B50" s="495" t="s">
        <v>1445</v>
      </c>
      <c r="C50" s="11">
        <v>85551</v>
      </c>
      <c r="D50" s="11"/>
      <c r="E50" s="11"/>
      <c r="F50" s="496">
        <f>SUM(C50:E50)</f>
        <v>85551</v>
      </c>
      <c r="G50" s="496"/>
      <c r="H50" s="496">
        <f t="shared" si="3"/>
        <v>85551</v>
      </c>
      <c r="I50" s="497">
        <v>4657</v>
      </c>
      <c r="J50" s="71">
        <v>40894</v>
      </c>
      <c r="K50" s="11"/>
      <c r="L50" s="11"/>
      <c r="M50" s="11">
        <v>40894</v>
      </c>
      <c r="N50" s="498"/>
      <c r="O50" s="499"/>
      <c r="P50" s="500"/>
      <c r="Q50" s="499">
        <v>40000</v>
      </c>
    </row>
    <row r="51" spans="1:17" ht="18.75" customHeight="1">
      <c r="A51" s="437"/>
      <c r="B51" s="501" t="s">
        <v>1446</v>
      </c>
      <c r="C51" s="11"/>
      <c r="D51" s="11"/>
      <c r="E51" s="11"/>
      <c r="F51" s="496"/>
      <c r="G51" s="496"/>
      <c r="H51" s="496"/>
      <c r="I51" s="497"/>
      <c r="J51" s="71"/>
      <c r="K51" s="11"/>
      <c r="L51" s="11"/>
      <c r="M51" s="11"/>
      <c r="N51" s="498"/>
      <c r="O51" s="499"/>
      <c r="P51" s="500"/>
      <c r="Q51" s="499"/>
    </row>
    <row r="52" spans="1:17" ht="12">
      <c r="A52" s="437">
        <v>42</v>
      </c>
      <c r="B52" s="495" t="s">
        <v>1447</v>
      </c>
      <c r="C52" s="11">
        <v>31133</v>
      </c>
      <c r="D52" s="11"/>
      <c r="E52" s="11"/>
      <c r="F52" s="496">
        <f>SUM(C52:E52)</f>
        <v>31133</v>
      </c>
      <c r="G52" s="496"/>
      <c r="H52" s="496">
        <f t="shared" si="3"/>
        <v>31133</v>
      </c>
      <c r="I52" s="497">
        <v>11070</v>
      </c>
      <c r="J52" s="71">
        <v>17584</v>
      </c>
      <c r="K52" s="11"/>
      <c r="L52" s="11"/>
      <c r="M52" s="11">
        <v>17584</v>
      </c>
      <c r="N52" s="498"/>
      <c r="O52" s="499"/>
      <c r="P52" s="500"/>
      <c r="Q52" s="499">
        <v>2479</v>
      </c>
    </row>
    <row r="53" spans="1:17" ht="28.5" customHeight="1">
      <c r="A53" s="437">
        <v>43</v>
      </c>
      <c r="B53" s="495" t="s">
        <v>1448</v>
      </c>
      <c r="C53" s="11">
        <v>30000</v>
      </c>
      <c r="D53" s="11"/>
      <c r="E53" s="11"/>
      <c r="F53" s="496">
        <f>SUM(C53:E53)</f>
        <v>30000</v>
      </c>
      <c r="G53" s="496"/>
      <c r="H53" s="496">
        <f t="shared" si="3"/>
        <v>30000</v>
      </c>
      <c r="I53" s="497">
        <v>8256</v>
      </c>
      <c r="J53" s="71">
        <v>13000</v>
      </c>
      <c r="K53" s="11"/>
      <c r="L53" s="11"/>
      <c r="M53" s="11">
        <v>13000</v>
      </c>
      <c r="N53" s="498"/>
      <c r="O53" s="499"/>
      <c r="P53" s="500"/>
      <c r="Q53" s="499">
        <v>8744</v>
      </c>
    </row>
    <row r="54" spans="1:17" ht="22.5" customHeight="1">
      <c r="A54" s="503"/>
      <c r="B54" s="478" t="s">
        <v>1449</v>
      </c>
      <c r="C54" s="504">
        <f>SUM(C40:C53)</f>
        <v>15589617</v>
      </c>
      <c r="D54" s="504">
        <f>SUM(D40:D53)</f>
        <v>3661</v>
      </c>
      <c r="E54" s="504">
        <f>SUM(E40:E53)</f>
        <v>1309316</v>
      </c>
      <c r="F54" s="505">
        <f>SUM(C54:E54)</f>
        <v>16902594</v>
      </c>
      <c r="G54" s="505">
        <f>SUM(G40:G53)</f>
        <v>162560</v>
      </c>
      <c r="H54" s="505">
        <f t="shared" si="3"/>
        <v>17065154</v>
      </c>
      <c r="I54" s="506">
        <f>SUM(I40:I53)</f>
        <v>3917083</v>
      </c>
      <c r="J54" s="507">
        <f>SUM(J40:J53)</f>
        <v>12908904</v>
      </c>
      <c r="K54" s="507">
        <f>SUM(K40:K53)</f>
        <v>3881537</v>
      </c>
      <c r="L54" s="507">
        <f>SUM(L40:L53)</f>
        <v>1239869</v>
      </c>
      <c r="M54" s="507">
        <f>SUM(M40:M53)</f>
        <v>7787498</v>
      </c>
      <c r="N54" s="508">
        <f>SUM(N40:N43)</f>
        <v>2182472</v>
      </c>
      <c r="O54" s="508">
        <f>SUM(O40:O43)</f>
        <v>10438279</v>
      </c>
      <c r="P54" s="509">
        <f>SUM(P40:P43)</f>
        <v>167463</v>
      </c>
      <c r="Q54" s="508">
        <f>SUM(Q40:Q53)</f>
        <v>239167</v>
      </c>
    </row>
    <row r="55" spans="3:17" ht="12"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1"/>
      <c r="O55" s="510"/>
      <c r="P55" s="510"/>
      <c r="Q55" s="510"/>
    </row>
  </sheetData>
  <sheetProtection/>
  <mergeCells count="14">
    <mergeCell ref="G1:G3"/>
    <mergeCell ref="H1:H3"/>
    <mergeCell ref="I1:I3"/>
    <mergeCell ref="J1:M1"/>
    <mergeCell ref="N1:P1"/>
    <mergeCell ref="Q1:Q3"/>
    <mergeCell ref="J2:J3"/>
    <mergeCell ref="K2:M2"/>
    <mergeCell ref="E1:E3"/>
    <mergeCell ref="F1:F3"/>
    <mergeCell ref="A1:A3"/>
    <mergeCell ref="B1:B3"/>
    <mergeCell ref="C1:C3"/>
    <mergeCell ref="D1:D3"/>
  </mergeCells>
  <printOptions/>
  <pageMargins left="0.75" right="0.75" top="1" bottom="1" header="0.5" footer="0.5"/>
  <pageSetup horizontalDpi="300" verticalDpi="300" orientation="landscape" paperSize="9" scale="85" r:id="rId1"/>
  <headerFooter alignWithMargins="0">
    <oddHeader>&amp;CEurópai Uniós támogatással megvalósuló projektek tervezett költségei 2019. évben&amp;R11. melléklet
adatok E Ft-ban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C5" sqref="C5"/>
    </sheetView>
  </sheetViews>
  <sheetFormatPr defaultColWidth="10.625" defaultRowHeight="12.75"/>
  <cols>
    <col min="1" max="1" width="9.375" style="329" customWidth="1"/>
    <col min="2" max="2" width="32.00390625" style="329" customWidth="1"/>
    <col min="3" max="3" width="28.00390625" style="329" customWidth="1"/>
    <col min="4" max="4" width="10.625" style="329" customWidth="1"/>
    <col min="5" max="5" width="11.625" style="329" customWidth="1"/>
    <col min="6" max="16384" width="10.625" style="329" customWidth="1"/>
  </cols>
  <sheetData>
    <row r="1" spans="2:5" ht="40.5">
      <c r="B1" s="326" t="s">
        <v>1350</v>
      </c>
      <c r="C1" s="327" t="s">
        <v>1404</v>
      </c>
      <c r="D1" s="328"/>
      <c r="E1" s="328"/>
    </row>
    <row r="2" spans="2:5" ht="41.25" customHeight="1">
      <c r="B2" s="330" t="s">
        <v>1351</v>
      </c>
      <c r="C2" s="331" t="s">
        <v>1352</v>
      </c>
      <c r="D2" s="332"/>
      <c r="E2" s="333"/>
    </row>
    <row r="3" spans="2:5" ht="31.5" customHeight="1">
      <c r="B3" s="330" t="s">
        <v>1353</v>
      </c>
      <c r="C3" s="334">
        <v>12900</v>
      </c>
      <c r="D3" s="332"/>
      <c r="E3" s="333"/>
    </row>
    <row r="4" spans="2:5" ht="32.25" customHeight="1">
      <c r="B4" s="335" t="s">
        <v>1354</v>
      </c>
      <c r="C4" s="336">
        <v>228575</v>
      </c>
      <c r="D4" s="332"/>
      <c r="E4" s="333"/>
    </row>
    <row r="5" spans="2:4" ht="44.25" customHeight="1">
      <c r="B5" s="335" t="s">
        <v>1355</v>
      </c>
      <c r="C5" s="336">
        <v>60667</v>
      </c>
      <c r="D5" s="337"/>
    </row>
    <row r="6" spans="2:5" ht="33.75" customHeight="1">
      <c r="B6" s="330" t="s">
        <v>1356</v>
      </c>
      <c r="C6" s="338">
        <v>10715</v>
      </c>
      <c r="D6" s="332"/>
      <c r="E6" s="333"/>
    </row>
    <row r="7" spans="2:5" ht="13.5">
      <c r="B7" s="339" t="s">
        <v>338</v>
      </c>
      <c r="C7" s="340">
        <f>SUM(C2:C6)</f>
        <v>312857</v>
      </c>
      <c r="D7" s="328"/>
      <c r="E7" s="328"/>
    </row>
    <row r="8" spans="2:5" ht="12.75">
      <c r="B8" s="328"/>
      <c r="C8" s="341"/>
      <c r="D8" s="328"/>
      <c r="E8" s="328"/>
    </row>
    <row r="9" spans="2:5" ht="12.75">
      <c r="B9" s="328"/>
      <c r="C9" s="328"/>
      <c r="D9" s="328"/>
      <c r="E9" s="328"/>
    </row>
    <row r="10" spans="2:5" ht="12.75">
      <c r="B10" s="380" t="s">
        <v>1405</v>
      </c>
      <c r="C10" s="328"/>
      <c r="D10" s="328"/>
      <c r="E10" s="328"/>
    </row>
    <row r="11" spans="2:3" ht="12.75">
      <c r="B11" s="342" t="s">
        <v>1357</v>
      </c>
      <c r="C11" s="342"/>
    </row>
    <row r="12" spans="2:3" ht="12.75">
      <c r="B12" s="342" t="s">
        <v>1406</v>
      </c>
      <c r="C12" s="342"/>
    </row>
    <row r="13" ht="12.75">
      <c r="B13" s="342" t="s">
        <v>1358</v>
      </c>
    </row>
    <row r="14" ht="12.75">
      <c r="B14" s="342" t="s">
        <v>1407</v>
      </c>
    </row>
  </sheetData>
  <sheetProtection/>
  <printOptions/>
  <pageMargins left="0.7874015748031497" right="0.7874015748031497" top="2.1653543307086616" bottom="0.984251968503937" header="1.4960629921259843" footer="0.5118110236220472"/>
  <pageSetup horizontalDpi="300" verticalDpi="300" orientation="portrait" paperSize="9" r:id="rId1"/>
  <headerFooter alignWithMargins="0">
    <oddHeader>&amp;C&amp;"Times New Roman CE,Félkövér dőlt"KÖZVETETETT TÁMOGATÁSOK JOGCÍMEI ÉS ÖSSZEGEI&amp;R&amp;"Times New Roman CE,Félkövér dőlt"12. melléklet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N2" sqref="N2"/>
    </sheetView>
  </sheetViews>
  <sheetFormatPr defaultColWidth="10.375" defaultRowHeight="12.75"/>
  <cols>
    <col min="1" max="1" width="30.625" style="377" customWidth="1"/>
    <col min="2" max="2" width="10.50390625" style="137" customWidth="1"/>
    <col min="3" max="3" width="10.375" style="137" customWidth="1"/>
    <col min="4" max="11" width="11.00390625" style="137" bestFit="1" customWidth="1"/>
    <col min="12" max="12" width="10.375" style="137" customWidth="1"/>
    <col min="13" max="13" width="11.00390625" style="137" bestFit="1" customWidth="1"/>
    <col min="14" max="14" width="11.875" style="137" customWidth="1"/>
    <col min="15" max="239" width="9.375" style="137" customWidth="1"/>
    <col min="240" max="240" width="30.625" style="137" customWidth="1"/>
    <col min="241" max="241" width="10.50390625" style="137" customWidth="1"/>
    <col min="242" max="242" width="30.625" style="137" customWidth="1"/>
    <col min="243" max="243" width="10.50390625" style="137" customWidth="1"/>
    <col min="244" max="16384" width="10.375" style="137" customWidth="1"/>
  </cols>
  <sheetData>
    <row r="1" spans="1:14" s="138" customFormat="1" ht="42" customHeight="1">
      <c r="A1" s="167" t="s">
        <v>857</v>
      </c>
      <c r="B1" s="366" t="s">
        <v>1384</v>
      </c>
      <c r="C1" s="156" t="s">
        <v>1385</v>
      </c>
      <c r="D1" s="156" t="s">
        <v>1386</v>
      </c>
      <c r="E1" s="156" t="s">
        <v>1387</v>
      </c>
      <c r="F1" s="156" t="s">
        <v>1388</v>
      </c>
      <c r="G1" s="156" t="s">
        <v>1389</v>
      </c>
      <c r="H1" s="156" t="s">
        <v>1390</v>
      </c>
      <c r="I1" s="156" t="s">
        <v>1391</v>
      </c>
      <c r="J1" s="156" t="s">
        <v>1392</v>
      </c>
      <c r="K1" s="156" t="s">
        <v>1393</v>
      </c>
      <c r="L1" s="156" t="s">
        <v>1394</v>
      </c>
      <c r="M1" s="156" t="s">
        <v>1395</v>
      </c>
      <c r="N1" s="167" t="s">
        <v>859</v>
      </c>
    </row>
    <row r="2" spans="1:14" ht="18.75" customHeight="1">
      <c r="A2" s="367" t="s">
        <v>1396</v>
      </c>
      <c r="B2" s="368">
        <v>2537955</v>
      </c>
      <c r="C2" s="158">
        <v>2714745</v>
      </c>
      <c r="D2" s="158">
        <v>3046326</v>
      </c>
      <c r="E2" s="158">
        <v>4570378</v>
      </c>
      <c r="F2" s="158">
        <v>3811208</v>
      </c>
      <c r="G2" s="158">
        <v>4298008</v>
      </c>
      <c r="H2" s="158">
        <v>3407193</v>
      </c>
      <c r="I2" s="158">
        <v>2827081</v>
      </c>
      <c r="J2" s="158">
        <v>3551365</v>
      </c>
      <c r="K2" s="158">
        <v>4059597</v>
      </c>
      <c r="L2" s="158">
        <v>3135970</v>
      </c>
      <c r="M2" s="158">
        <v>3153392</v>
      </c>
      <c r="N2" s="158">
        <f>SUM(B2:M2)</f>
        <v>41113218</v>
      </c>
    </row>
    <row r="3" spans="1:14" ht="18" customHeight="1">
      <c r="A3" s="369" t="s">
        <v>1397</v>
      </c>
      <c r="B3" s="368"/>
      <c r="C3" s="158"/>
      <c r="D3" s="158"/>
      <c r="E3" s="370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9.5" customHeight="1">
      <c r="A4" s="157" t="s">
        <v>860</v>
      </c>
      <c r="B4" s="368">
        <v>11600</v>
      </c>
      <c r="C4" s="158">
        <v>11600</v>
      </c>
      <c r="D4" s="158">
        <v>11600</v>
      </c>
      <c r="E4" s="158">
        <v>3600</v>
      </c>
      <c r="F4" s="158">
        <v>4310</v>
      </c>
      <c r="G4" s="158">
        <v>1000</v>
      </c>
      <c r="H4" s="158">
        <v>1000</v>
      </c>
      <c r="I4" s="158">
        <v>3500</v>
      </c>
      <c r="J4" s="158">
        <v>1600</v>
      </c>
      <c r="K4" s="158">
        <v>1700</v>
      </c>
      <c r="L4" s="158">
        <v>4290</v>
      </c>
      <c r="M4" s="158">
        <v>1500</v>
      </c>
      <c r="N4" s="158">
        <f aca="true" t="shared" si="0" ref="N4:N22">SUM(B4:M4)</f>
        <v>57300</v>
      </c>
    </row>
    <row r="5" spans="1:14" ht="24.75" customHeight="1">
      <c r="A5" s="157" t="s">
        <v>803</v>
      </c>
      <c r="B5" s="371">
        <v>45106</v>
      </c>
      <c r="C5" s="372">
        <v>46600</v>
      </c>
      <c r="D5" s="372">
        <v>41600</v>
      </c>
      <c r="E5" s="372">
        <v>44600</v>
      </c>
      <c r="F5" s="372">
        <v>42600</v>
      </c>
      <c r="G5" s="372">
        <v>40100</v>
      </c>
      <c r="H5" s="372">
        <v>14750</v>
      </c>
      <c r="I5" s="372">
        <v>6182</v>
      </c>
      <c r="J5" s="372">
        <v>6482</v>
      </c>
      <c r="K5" s="372">
        <v>44600</v>
      </c>
      <c r="L5" s="372">
        <v>45575</v>
      </c>
      <c r="M5" s="372">
        <v>44086</v>
      </c>
      <c r="N5" s="158">
        <f t="shared" si="0"/>
        <v>422281</v>
      </c>
    </row>
    <row r="6" spans="1:14" ht="12.75">
      <c r="A6" s="157" t="s">
        <v>991</v>
      </c>
      <c r="B6" s="371">
        <v>14527</v>
      </c>
      <c r="C6" s="372">
        <v>11900</v>
      </c>
      <c r="D6" s="372">
        <v>11900</v>
      </c>
      <c r="E6" s="372">
        <v>7693</v>
      </c>
      <c r="F6" s="372">
        <v>6900</v>
      </c>
      <c r="G6" s="372">
        <v>3900</v>
      </c>
      <c r="H6" s="372">
        <v>1500</v>
      </c>
      <c r="I6" s="372">
        <v>1500</v>
      </c>
      <c r="J6" s="372">
        <v>6900</v>
      </c>
      <c r="K6" s="372">
        <v>6900</v>
      </c>
      <c r="L6" s="372">
        <v>6900</v>
      </c>
      <c r="M6" s="372">
        <v>6900</v>
      </c>
      <c r="N6" s="158">
        <f t="shared" si="0"/>
        <v>87420</v>
      </c>
    </row>
    <row r="7" spans="1:14" ht="24" customHeight="1">
      <c r="A7" s="159" t="s">
        <v>1203</v>
      </c>
      <c r="B7" s="371">
        <v>26790</v>
      </c>
      <c r="C7" s="372">
        <v>23339</v>
      </c>
      <c r="D7" s="372">
        <v>23339</v>
      </c>
      <c r="E7" s="372">
        <v>23339</v>
      </c>
      <c r="F7" s="372">
        <v>23339</v>
      </c>
      <c r="G7" s="372">
        <v>23339</v>
      </c>
      <c r="H7" s="372">
        <v>23339</v>
      </c>
      <c r="I7" s="372">
        <v>23339</v>
      </c>
      <c r="J7" s="372">
        <v>23339</v>
      </c>
      <c r="K7" s="372">
        <v>23539</v>
      </c>
      <c r="L7" s="372">
        <v>23539</v>
      </c>
      <c r="M7" s="372">
        <v>23574</v>
      </c>
      <c r="N7" s="158">
        <f t="shared" si="0"/>
        <v>284154</v>
      </c>
    </row>
    <row r="8" spans="1:14" ht="27" customHeight="1">
      <c r="A8" s="159" t="s">
        <v>1204</v>
      </c>
      <c r="B8" s="371">
        <v>1000</v>
      </c>
      <c r="C8" s="372">
        <v>1000</v>
      </c>
      <c r="D8" s="372">
        <v>1368</v>
      </c>
      <c r="E8" s="372">
        <v>4000</v>
      </c>
      <c r="F8" s="372">
        <v>1368</v>
      </c>
      <c r="G8" s="372">
        <v>1368</v>
      </c>
      <c r="H8" s="372">
        <v>2107</v>
      </c>
      <c r="I8" s="372"/>
      <c r="J8" s="372"/>
      <c r="K8" s="372"/>
      <c r="L8" s="372"/>
      <c r="M8" s="372"/>
      <c r="N8" s="158">
        <f t="shared" si="0"/>
        <v>12211</v>
      </c>
    </row>
    <row r="9" spans="1:14" ht="12.75">
      <c r="A9" s="160" t="s">
        <v>992</v>
      </c>
      <c r="B9" s="371">
        <v>14700</v>
      </c>
      <c r="C9" s="372">
        <v>1817</v>
      </c>
      <c r="D9" s="372">
        <v>1717</v>
      </c>
      <c r="E9" s="372">
        <v>1717</v>
      </c>
      <c r="F9" s="372">
        <v>1517</v>
      </c>
      <c r="G9" s="372">
        <v>1421</v>
      </c>
      <c r="H9" s="372"/>
      <c r="I9" s="372">
        <v>1000</v>
      </c>
      <c r="J9" s="372">
        <v>1817</v>
      </c>
      <c r="K9" s="372">
        <v>1717</v>
      </c>
      <c r="L9" s="372">
        <v>1717</v>
      </c>
      <c r="M9" s="372">
        <v>1717</v>
      </c>
      <c r="N9" s="158">
        <f t="shared" si="0"/>
        <v>30857</v>
      </c>
    </row>
    <row r="10" spans="1:14" ht="12.75">
      <c r="A10" s="160" t="s">
        <v>1005</v>
      </c>
      <c r="B10" s="371">
        <v>3838</v>
      </c>
      <c r="C10" s="372">
        <v>1805</v>
      </c>
      <c r="D10" s="372">
        <v>1805</v>
      </c>
      <c r="E10" s="372">
        <v>1405</v>
      </c>
      <c r="F10" s="372">
        <v>1705</v>
      </c>
      <c r="G10" s="372">
        <v>900</v>
      </c>
      <c r="H10" s="372">
        <v>200</v>
      </c>
      <c r="I10" s="372">
        <v>800</v>
      </c>
      <c r="J10" s="372">
        <v>1705</v>
      </c>
      <c r="K10" s="372">
        <v>1405</v>
      </c>
      <c r="L10" s="372">
        <v>1726</v>
      </c>
      <c r="M10" s="372">
        <v>1605</v>
      </c>
      <c r="N10" s="158">
        <f t="shared" si="0"/>
        <v>18899</v>
      </c>
    </row>
    <row r="11" spans="1:14" ht="12.75">
      <c r="A11" s="160" t="s">
        <v>1006</v>
      </c>
      <c r="B11" s="371">
        <v>8461</v>
      </c>
      <c r="C11" s="372">
        <v>2500</v>
      </c>
      <c r="D11" s="372">
        <v>2100</v>
      </c>
      <c r="E11" s="372">
        <v>2000</v>
      </c>
      <c r="F11" s="372">
        <v>2500</v>
      </c>
      <c r="G11" s="372">
        <v>2000</v>
      </c>
      <c r="H11" s="372">
        <v>210</v>
      </c>
      <c r="I11" s="372">
        <v>600</v>
      </c>
      <c r="J11" s="372">
        <v>2300</v>
      </c>
      <c r="K11" s="372">
        <v>2000</v>
      </c>
      <c r="L11" s="372">
        <v>2000</v>
      </c>
      <c r="M11" s="372">
        <v>2000</v>
      </c>
      <c r="N11" s="158">
        <f t="shared" si="0"/>
        <v>28671</v>
      </c>
    </row>
    <row r="12" spans="1:14" ht="15" customHeight="1">
      <c r="A12" s="160" t="s">
        <v>1007</v>
      </c>
      <c r="B12" s="371">
        <v>11100</v>
      </c>
      <c r="C12" s="372">
        <v>1468</v>
      </c>
      <c r="D12" s="372">
        <v>1468</v>
      </c>
      <c r="E12" s="372">
        <v>1468</v>
      </c>
      <c r="F12" s="372">
        <v>1468</v>
      </c>
      <c r="G12" s="372">
        <v>1041</v>
      </c>
      <c r="H12" s="372">
        <v>568</v>
      </c>
      <c r="I12" s="372">
        <v>340</v>
      </c>
      <c r="J12" s="373">
        <v>1468</v>
      </c>
      <c r="K12" s="372">
        <v>1468</v>
      </c>
      <c r="L12" s="372">
        <v>1468</v>
      </c>
      <c r="M12" s="372">
        <v>1468</v>
      </c>
      <c r="N12" s="158">
        <f t="shared" si="0"/>
        <v>24793</v>
      </c>
    </row>
    <row r="13" spans="1:14" ht="22.5" customHeight="1">
      <c r="A13" s="374" t="s">
        <v>1205</v>
      </c>
      <c r="B13" s="371">
        <v>20</v>
      </c>
      <c r="C13" s="372">
        <v>180</v>
      </c>
      <c r="D13" s="372">
        <v>2994</v>
      </c>
      <c r="E13" s="373"/>
      <c r="F13" s="372"/>
      <c r="G13" s="372">
        <v>2995</v>
      </c>
      <c r="H13" s="372"/>
      <c r="I13" s="372">
        <v>273</v>
      </c>
      <c r="J13" s="372">
        <v>2994</v>
      </c>
      <c r="K13" s="372"/>
      <c r="L13" s="372"/>
      <c r="M13" s="372">
        <v>2996</v>
      </c>
      <c r="N13" s="158">
        <f t="shared" si="0"/>
        <v>12452</v>
      </c>
    </row>
    <row r="14" spans="1:14" ht="17.25" customHeight="1">
      <c r="A14" s="162" t="s">
        <v>988</v>
      </c>
      <c r="B14" s="368">
        <v>25117</v>
      </c>
      <c r="C14" s="158">
        <v>19317</v>
      </c>
      <c r="D14" s="158">
        <v>19317</v>
      </c>
      <c r="E14" s="158">
        <v>19317</v>
      </c>
      <c r="F14" s="158">
        <v>20116</v>
      </c>
      <c r="G14" s="158">
        <v>20115</v>
      </c>
      <c r="H14" s="158">
        <v>1000</v>
      </c>
      <c r="I14" s="158">
        <v>1000</v>
      </c>
      <c r="J14" s="158">
        <v>9132</v>
      </c>
      <c r="K14" s="158">
        <v>10000</v>
      </c>
      <c r="L14" s="158">
        <v>10000</v>
      </c>
      <c r="M14" s="158">
        <v>10000</v>
      </c>
      <c r="N14" s="158">
        <f t="shared" si="0"/>
        <v>164431</v>
      </c>
    </row>
    <row r="15" spans="1:14" ht="25.5" customHeight="1">
      <c r="A15" s="159" t="s">
        <v>1008</v>
      </c>
      <c r="B15" s="371">
        <v>30</v>
      </c>
      <c r="C15" s="372">
        <v>35</v>
      </c>
      <c r="D15" s="372">
        <v>40</v>
      </c>
      <c r="E15" s="372">
        <v>80</v>
      </c>
      <c r="F15" s="372">
        <v>100</v>
      </c>
      <c r="G15" s="372">
        <v>120</v>
      </c>
      <c r="H15" s="372">
        <v>120</v>
      </c>
      <c r="I15" s="372">
        <v>125</v>
      </c>
      <c r="J15" s="372">
        <v>200</v>
      </c>
      <c r="K15" s="372">
        <v>200</v>
      </c>
      <c r="L15" s="372">
        <v>200</v>
      </c>
      <c r="M15" s="372">
        <v>250</v>
      </c>
      <c r="N15" s="158">
        <f t="shared" si="0"/>
        <v>1500</v>
      </c>
    </row>
    <row r="16" spans="1:14" ht="17.25" customHeight="1">
      <c r="A16" s="160" t="s">
        <v>989</v>
      </c>
      <c r="B16" s="371">
        <v>5500</v>
      </c>
      <c r="C16" s="372">
        <v>5700</v>
      </c>
      <c r="D16" s="372">
        <v>3628</v>
      </c>
      <c r="E16" s="372">
        <v>3500</v>
      </c>
      <c r="F16" s="372">
        <v>3500</v>
      </c>
      <c r="G16" s="372">
        <v>3900</v>
      </c>
      <c r="H16" s="372">
        <v>7500</v>
      </c>
      <c r="I16" s="372">
        <v>3800</v>
      </c>
      <c r="J16" s="372">
        <v>3900</v>
      </c>
      <c r="K16" s="372">
        <v>7500</v>
      </c>
      <c r="L16" s="372">
        <v>5218</v>
      </c>
      <c r="M16" s="372">
        <v>3796</v>
      </c>
      <c r="N16" s="158">
        <f t="shared" si="0"/>
        <v>57442</v>
      </c>
    </row>
    <row r="17" spans="1:14" ht="12.75">
      <c r="A17" s="160" t="s">
        <v>990</v>
      </c>
      <c r="B17" s="368">
        <v>24000</v>
      </c>
      <c r="C17" s="158">
        <v>22533</v>
      </c>
      <c r="D17" s="158">
        <v>13000</v>
      </c>
      <c r="E17" s="158">
        <v>14338</v>
      </c>
      <c r="F17" s="158">
        <v>15864</v>
      </c>
      <c r="G17" s="158">
        <v>17200</v>
      </c>
      <c r="H17" s="158">
        <v>18000</v>
      </c>
      <c r="I17" s="158">
        <v>19000</v>
      </c>
      <c r="J17" s="158">
        <v>19000</v>
      </c>
      <c r="K17" s="158">
        <v>21666</v>
      </c>
      <c r="L17" s="158">
        <v>20800</v>
      </c>
      <c r="M17" s="158">
        <v>20423</v>
      </c>
      <c r="N17" s="158">
        <f t="shared" si="0"/>
        <v>225824</v>
      </c>
    </row>
    <row r="18" spans="1:14" ht="16.5" customHeight="1">
      <c r="A18" s="160" t="s">
        <v>1009</v>
      </c>
      <c r="B18" s="368">
        <v>17239</v>
      </c>
      <c r="C18" s="158">
        <v>6000</v>
      </c>
      <c r="D18" s="158">
        <v>8000</v>
      </c>
      <c r="E18" s="158">
        <v>8000</v>
      </c>
      <c r="F18" s="158">
        <v>8000</v>
      </c>
      <c r="G18" s="158">
        <v>15000</v>
      </c>
      <c r="H18" s="158">
        <v>15000</v>
      </c>
      <c r="I18" s="158">
        <v>16000</v>
      </c>
      <c r="J18" s="158">
        <v>33000</v>
      </c>
      <c r="K18" s="158">
        <v>60000</v>
      </c>
      <c r="L18" s="158">
        <v>60000</v>
      </c>
      <c r="M18" s="158">
        <v>69303</v>
      </c>
      <c r="N18" s="158">
        <f t="shared" si="0"/>
        <v>315542</v>
      </c>
    </row>
    <row r="19" spans="1:14" ht="19.5" customHeight="1">
      <c r="A19" s="160" t="s">
        <v>1010</v>
      </c>
      <c r="B19" s="368">
        <v>5483</v>
      </c>
      <c r="C19" s="158">
        <v>2000</v>
      </c>
      <c r="D19" s="158">
        <v>1000</v>
      </c>
      <c r="E19" s="158">
        <v>1000</v>
      </c>
      <c r="F19" s="158">
        <v>1000</v>
      </c>
      <c r="G19" s="158">
        <v>1000</v>
      </c>
      <c r="H19" s="158">
        <v>1000</v>
      </c>
      <c r="I19" s="158">
        <v>500</v>
      </c>
      <c r="J19" s="158">
        <v>4000</v>
      </c>
      <c r="K19" s="158">
        <v>8000</v>
      </c>
      <c r="L19" s="158">
        <v>10500</v>
      </c>
      <c r="M19" s="158">
        <v>12000</v>
      </c>
      <c r="N19" s="158">
        <f t="shared" si="0"/>
        <v>47483</v>
      </c>
    </row>
    <row r="20" spans="1:14" ht="17.25" customHeight="1">
      <c r="A20" s="160" t="s">
        <v>1207</v>
      </c>
      <c r="B20" s="368">
        <v>13193</v>
      </c>
      <c r="C20" s="158">
        <v>12025</v>
      </c>
      <c r="D20" s="158">
        <v>4737</v>
      </c>
      <c r="E20" s="158">
        <v>4639</v>
      </c>
      <c r="F20" s="158">
        <v>4189</v>
      </c>
      <c r="G20" s="158">
        <v>4532</v>
      </c>
      <c r="H20" s="158">
        <v>4189</v>
      </c>
      <c r="I20" s="158">
        <v>4189</v>
      </c>
      <c r="J20" s="158">
        <v>4397</v>
      </c>
      <c r="K20" s="158">
        <v>4189</v>
      </c>
      <c r="L20" s="158">
        <v>4189</v>
      </c>
      <c r="M20" s="158">
        <v>4530</v>
      </c>
      <c r="N20" s="158">
        <f t="shared" si="0"/>
        <v>68998</v>
      </c>
    </row>
    <row r="21" spans="1:14" ht="18.75" customHeight="1">
      <c r="A21" s="160" t="s">
        <v>1239</v>
      </c>
      <c r="B21" s="371">
        <v>9235</v>
      </c>
      <c r="C21" s="372">
        <v>9235</v>
      </c>
      <c r="D21" s="372">
        <v>9236</v>
      </c>
      <c r="E21" s="372">
        <v>9236</v>
      </c>
      <c r="F21" s="372">
        <v>9236</v>
      </c>
      <c r="G21" s="372">
        <v>9236</v>
      </c>
      <c r="H21" s="372">
        <v>9236</v>
      </c>
      <c r="I21" s="372">
        <v>9236</v>
      </c>
      <c r="J21" s="372">
        <v>9236</v>
      </c>
      <c r="K21" s="372">
        <v>9236</v>
      </c>
      <c r="L21" s="372">
        <v>9236</v>
      </c>
      <c r="M21" s="372">
        <v>9236</v>
      </c>
      <c r="N21" s="158">
        <f t="shared" si="0"/>
        <v>110830</v>
      </c>
    </row>
    <row r="22" spans="1:14" ht="13.5" customHeight="1">
      <c r="A22" s="168" t="s">
        <v>1398</v>
      </c>
      <c r="B22" s="375">
        <f aca="true" t="shared" si="1" ref="B22:M22">SUM(B2:B21)</f>
        <v>2774894</v>
      </c>
      <c r="C22" s="375">
        <f t="shared" si="1"/>
        <v>2893799</v>
      </c>
      <c r="D22" s="375">
        <f t="shared" si="1"/>
        <v>3205175</v>
      </c>
      <c r="E22" s="375">
        <f t="shared" si="1"/>
        <v>4720310</v>
      </c>
      <c r="F22" s="375">
        <f t="shared" si="1"/>
        <v>3958920</v>
      </c>
      <c r="G22" s="375">
        <f t="shared" si="1"/>
        <v>4447175</v>
      </c>
      <c r="H22" s="375">
        <f t="shared" si="1"/>
        <v>3506912</v>
      </c>
      <c r="I22" s="375">
        <f t="shared" si="1"/>
        <v>2918465</v>
      </c>
      <c r="J22" s="375">
        <f t="shared" si="1"/>
        <v>3682835</v>
      </c>
      <c r="K22" s="375">
        <f t="shared" si="1"/>
        <v>4263717</v>
      </c>
      <c r="L22" s="375">
        <f t="shared" si="1"/>
        <v>3343328</v>
      </c>
      <c r="M22" s="375">
        <f t="shared" si="1"/>
        <v>3368776</v>
      </c>
      <c r="N22" s="376">
        <f t="shared" si="0"/>
        <v>43084306</v>
      </c>
    </row>
    <row r="25" ht="12.75">
      <c r="P25" s="137" t="s">
        <v>1399</v>
      </c>
    </row>
  </sheetData>
  <sheetProtection/>
  <printOptions horizontalCentered="1"/>
  <pageMargins left="0.2755905511811024" right="0.35433070866141736" top="1.220472440944882" bottom="0.7874015748031497" header="0.8661417322834646" footer="0.5118110236220472"/>
  <pageSetup fitToHeight="1" fitToWidth="1" horizontalDpi="300" verticalDpi="300" orientation="landscape" paperSize="9" scale="82" r:id="rId1"/>
  <headerFooter alignWithMargins="0">
    <oddHeader>&amp;C&amp;"Times New Roman,Félkövér dőlt"ZALAEGERSZEG MEGYEI JOGÚ VÁROS2019. ÉVI BEVÉTELI ELŐIRÁNYZATAI NAK 
FELHASZNÁLÁSI ÜTEMTERVE&amp;R&amp;"Times New Roman,Félkövér dőlt"13.a melléklet
Adatok: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N3" sqref="N3"/>
    </sheetView>
  </sheetViews>
  <sheetFormatPr defaultColWidth="9.00390625" defaultRowHeight="12.75"/>
  <cols>
    <col min="1" max="1" width="30.625" style="137" customWidth="1"/>
    <col min="2" max="2" width="10.50390625" style="137" customWidth="1"/>
    <col min="3" max="6" width="10.375" style="137" customWidth="1"/>
    <col min="7" max="8" width="10.50390625" style="137" customWidth="1"/>
    <col min="9" max="9" width="10.875" style="137" customWidth="1"/>
    <col min="10" max="10" width="11.125" style="137" customWidth="1"/>
    <col min="11" max="11" width="10.625" style="137" customWidth="1"/>
    <col min="12" max="12" width="10.50390625" style="137" customWidth="1"/>
    <col min="13" max="13" width="11.625" style="137" customWidth="1"/>
    <col min="14" max="14" width="12.875" style="137" customWidth="1"/>
    <col min="15" max="16384" width="9.375" style="137" customWidth="1"/>
  </cols>
  <sheetData>
    <row r="1" spans="1:14" s="138" customFormat="1" ht="42" customHeight="1">
      <c r="A1" s="167" t="s">
        <v>857</v>
      </c>
      <c r="B1" s="156" t="s">
        <v>1384</v>
      </c>
      <c r="C1" s="156" t="s">
        <v>1385</v>
      </c>
      <c r="D1" s="156" t="s">
        <v>1386</v>
      </c>
      <c r="E1" s="156" t="s">
        <v>1387</v>
      </c>
      <c r="F1" s="156" t="s">
        <v>1388</v>
      </c>
      <c r="G1" s="156" t="s">
        <v>1389</v>
      </c>
      <c r="H1" s="156" t="s">
        <v>1390</v>
      </c>
      <c r="I1" s="156" t="s">
        <v>1391</v>
      </c>
      <c r="J1" s="156" t="s">
        <v>1392</v>
      </c>
      <c r="K1" s="156" t="s">
        <v>1393</v>
      </c>
      <c r="L1" s="156" t="s">
        <v>1394</v>
      </c>
      <c r="M1" s="156" t="s">
        <v>1395</v>
      </c>
      <c r="N1" s="167" t="s">
        <v>859</v>
      </c>
    </row>
    <row r="2" spans="1:14" ht="15" customHeight="1">
      <c r="A2" s="367" t="s">
        <v>1400</v>
      </c>
      <c r="B2" s="158">
        <v>268008</v>
      </c>
      <c r="C2" s="158">
        <v>362808</v>
      </c>
      <c r="D2" s="158">
        <v>392808</v>
      </c>
      <c r="E2" s="158">
        <v>362808</v>
      </c>
      <c r="F2" s="158">
        <v>371688</v>
      </c>
      <c r="G2" s="158">
        <v>386331</v>
      </c>
      <c r="H2" s="158">
        <v>377808</v>
      </c>
      <c r="I2" s="158">
        <v>387808</v>
      </c>
      <c r="J2" s="158">
        <v>397612</v>
      </c>
      <c r="K2" s="158">
        <v>412808</v>
      </c>
      <c r="L2" s="158">
        <v>402808</v>
      </c>
      <c r="M2" s="158">
        <v>416722</v>
      </c>
      <c r="N2" s="158">
        <f>SUM(B2:M2)</f>
        <v>4540017</v>
      </c>
    </row>
    <row r="3" spans="1:14" ht="15" customHeight="1">
      <c r="A3" s="367" t="s">
        <v>1401</v>
      </c>
      <c r="B3" s="378">
        <v>1864132</v>
      </c>
      <c r="C3" s="378">
        <v>1895838</v>
      </c>
      <c r="D3" s="378">
        <v>2191808</v>
      </c>
      <c r="E3" s="378">
        <v>3731610</v>
      </c>
      <c r="F3" s="378">
        <v>2953350</v>
      </c>
      <c r="G3" s="158">
        <v>3456665</v>
      </c>
      <c r="H3" s="158">
        <v>2571837</v>
      </c>
      <c r="I3" s="158">
        <v>2037166</v>
      </c>
      <c r="J3" s="158">
        <v>2756455</v>
      </c>
      <c r="K3" s="158">
        <v>3249402</v>
      </c>
      <c r="L3" s="158">
        <v>2341431</v>
      </c>
      <c r="M3" s="158">
        <v>2334158</v>
      </c>
      <c r="N3" s="158">
        <f>SUM(B3:M3)</f>
        <v>31383852</v>
      </c>
    </row>
    <row r="4" spans="1:14" ht="28.5" customHeight="1">
      <c r="A4" s="168" t="s">
        <v>1402</v>
      </c>
      <c r="B4" s="379">
        <f aca="true" t="shared" si="0" ref="B4:N4">SUM(B2:B3)</f>
        <v>2132140</v>
      </c>
      <c r="C4" s="379">
        <f t="shared" si="0"/>
        <v>2258646</v>
      </c>
      <c r="D4" s="379">
        <f t="shared" si="0"/>
        <v>2584616</v>
      </c>
      <c r="E4" s="379">
        <f t="shared" si="0"/>
        <v>4094418</v>
      </c>
      <c r="F4" s="379">
        <f t="shared" si="0"/>
        <v>3325038</v>
      </c>
      <c r="G4" s="379">
        <f t="shared" si="0"/>
        <v>3842996</v>
      </c>
      <c r="H4" s="379">
        <f t="shared" si="0"/>
        <v>2949645</v>
      </c>
      <c r="I4" s="379">
        <f t="shared" si="0"/>
        <v>2424974</v>
      </c>
      <c r="J4" s="379">
        <f t="shared" si="0"/>
        <v>3154067</v>
      </c>
      <c r="K4" s="379">
        <f t="shared" si="0"/>
        <v>3662210</v>
      </c>
      <c r="L4" s="379">
        <f t="shared" si="0"/>
        <v>2744239</v>
      </c>
      <c r="M4" s="379">
        <f t="shared" si="0"/>
        <v>2750880</v>
      </c>
      <c r="N4" s="379">
        <f t="shared" si="0"/>
        <v>35923869</v>
      </c>
    </row>
    <row r="5" spans="1:14" ht="17.25" customHeight="1">
      <c r="A5" s="369" t="s">
        <v>1397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ht="15" customHeight="1">
      <c r="A6" s="157" t="s">
        <v>860</v>
      </c>
      <c r="B6" s="158">
        <v>123221</v>
      </c>
      <c r="C6" s="158">
        <v>119900</v>
      </c>
      <c r="D6" s="158">
        <v>119900</v>
      </c>
      <c r="E6" s="158">
        <v>122900</v>
      </c>
      <c r="F6" s="158">
        <v>121600</v>
      </c>
      <c r="G6" s="158">
        <v>121100</v>
      </c>
      <c r="H6" s="158">
        <v>120200</v>
      </c>
      <c r="I6" s="158">
        <v>122700</v>
      </c>
      <c r="J6" s="158">
        <v>118700</v>
      </c>
      <c r="K6" s="158">
        <v>119000</v>
      </c>
      <c r="L6" s="158">
        <v>120690</v>
      </c>
      <c r="M6" s="158">
        <v>123437</v>
      </c>
      <c r="N6" s="372">
        <f aca="true" t="shared" si="1" ref="N6:N24">SUM(B6:M6)</f>
        <v>1453348</v>
      </c>
    </row>
    <row r="7" spans="1:14" ht="24">
      <c r="A7" s="157" t="s">
        <v>803</v>
      </c>
      <c r="B7" s="372">
        <v>91505</v>
      </c>
      <c r="C7" s="372">
        <v>92003</v>
      </c>
      <c r="D7" s="372">
        <v>91303</v>
      </c>
      <c r="E7" s="372">
        <v>91003</v>
      </c>
      <c r="F7" s="372">
        <v>92503</v>
      </c>
      <c r="G7" s="372">
        <v>88999</v>
      </c>
      <c r="H7" s="372">
        <v>80503</v>
      </c>
      <c r="I7" s="372">
        <v>17399</v>
      </c>
      <c r="J7" s="372">
        <v>15899</v>
      </c>
      <c r="K7" s="372">
        <v>90553</v>
      </c>
      <c r="L7" s="372">
        <v>89079</v>
      </c>
      <c r="M7" s="372">
        <v>86126</v>
      </c>
      <c r="N7" s="372">
        <f t="shared" si="1"/>
        <v>926875</v>
      </c>
    </row>
    <row r="8" spans="1:14" ht="12.75">
      <c r="A8" s="157" t="s">
        <v>991</v>
      </c>
      <c r="B8" s="372">
        <v>49790</v>
      </c>
      <c r="C8" s="372">
        <v>49540</v>
      </c>
      <c r="D8" s="372">
        <v>49290</v>
      </c>
      <c r="E8" s="372">
        <v>49790</v>
      </c>
      <c r="F8" s="372">
        <v>49290</v>
      </c>
      <c r="G8" s="372">
        <v>44909</v>
      </c>
      <c r="H8" s="372">
        <v>39595</v>
      </c>
      <c r="I8" s="372">
        <v>39090</v>
      </c>
      <c r="J8" s="372">
        <v>49390</v>
      </c>
      <c r="K8" s="372">
        <v>49590</v>
      </c>
      <c r="L8" s="372">
        <v>49397</v>
      </c>
      <c r="M8" s="372">
        <v>49624</v>
      </c>
      <c r="N8" s="372">
        <f t="shared" si="1"/>
        <v>569295</v>
      </c>
    </row>
    <row r="9" spans="1:14" ht="24" customHeight="1">
      <c r="A9" s="159" t="s">
        <v>1203</v>
      </c>
      <c r="B9" s="372">
        <v>31108</v>
      </c>
      <c r="C9" s="372">
        <v>31508</v>
      </c>
      <c r="D9" s="372">
        <v>31108</v>
      </c>
      <c r="E9" s="372">
        <v>31008</v>
      </c>
      <c r="F9" s="372">
        <v>31517</v>
      </c>
      <c r="G9" s="372">
        <v>31108</v>
      </c>
      <c r="H9" s="372">
        <v>31008</v>
      </c>
      <c r="I9" s="372">
        <v>31598</v>
      </c>
      <c r="J9" s="372">
        <v>31108</v>
      </c>
      <c r="K9" s="372">
        <v>31108</v>
      </c>
      <c r="L9" s="372">
        <v>31108</v>
      </c>
      <c r="M9" s="372">
        <v>31068</v>
      </c>
      <c r="N9" s="372">
        <f t="shared" si="1"/>
        <v>374355</v>
      </c>
    </row>
    <row r="10" spans="1:14" ht="24">
      <c r="A10" s="159" t="s">
        <v>1204</v>
      </c>
      <c r="B10" s="372">
        <v>15693</v>
      </c>
      <c r="C10" s="372">
        <v>15293</v>
      </c>
      <c r="D10" s="372">
        <v>15089</v>
      </c>
      <c r="E10" s="372">
        <v>17289</v>
      </c>
      <c r="F10" s="372">
        <v>15089</v>
      </c>
      <c r="G10" s="372">
        <v>15089</v>
      </c>
      <c r="H10" s="372">
        <v>13736</v>
      </c>
      <c r="I10" s="372">
        <v>13837</v>
      </c>
      <c r="J10" s="372">
        <v>13237</v>
      </c>
      <c r="K10" s="372">
        <v>13237</v>
      </c>
      <c r="L10" s="372">
        <v>13288</v>
      </c>
      <c r="M10" s="372">
        <v>13158</v>
      </c>
      <c r="N10" s="372">
        <f t="shared" si="1"/>
        <v>174035</v>
      </c>
    </row>
    <row r="11" spans="1:14" ht="12.75">
      <c r="A11" s="160" t="s">
        <v>992</v>
      </c>
      <c r="B11" s="372">
        <v>30322</v>
      </c>
      <c r="C11" s="372">
        <v>30372</v>
      </c>
      <c r="D11" s="372">
        <v>30122</v>
      </c>
      <c r="E11" s="372">
        <v>30222</v>
      </c>
      <c r="F11" s="372">
        <v>30122</v>
      </c>
      <c r="G11" s="372">
        <v>26122</v>
      </c>
      <c r="H11" s="372">
        <v>24478</v>
      </c>
      <c r="I11" s="372">
        <v>25178</v>
      </c>
      <c r="J11" s="372">
        <v>28522</v>
      </c>
      <c r="K11" s="372">
        <v>29622</v>
      </c>
      <c r="L11" s="372">
        <v>29256</v>
      </c>
      <c r="M11" s="372">
        <v>30891</v>
      </c>
      <c r="N11" s="372">
        <f t="shared" si="1"/>
        <v>345229</v>
      </c>
    </row>
    <row r="12" spans="1:14" ht="12.75">
      <c r="A12" s="160" t="s">
        <v>1005</v>
      </c>
      <c r="B12" s="372">
        <v>28565</v>
      </c>
      <c r="C12" s="372">
        <v>28295</v>
      </c>
      <c r="D12" s="372">
        <v>27745</v>
      </c>
      <c r="E12" s="372">
        <v>25945</v>
      </c>
      <c r="F12" s="372">
        <v>25745</v>
      </c>
      <c r="G12" s="372">
        <v>22745</v>
      </c>
      <c r="H12" s="372">
        <v>23745</v>
      </c>
      <c r="I12" s="372">
        <v>19945</v>
      </c>
      <c r="J12" s="372">
        <v>27245</v>
      </c>
      <c r="K12" s="372">
        <v>27795</v>
      </c>
      <c r="L12" s="372">
        <v>28345</v>
      </c>
      <c r="M12" s="372">
        <v>30252</v>
      </c>
      <c r="N12" s="372">
        <f t="shared" si="1"/>
        <v>316367</v>
      </c>
    </row>
    <row r="13" spans="1:14" ht="12.75">
      <c r="A13" s="160" t="s">
        <v>1006</v>
      </c>
      <c r="B13" s="372">
        <v>29710</v>
      </c>
      <c r="C13" s="372">
        <v>30310</v>
      </c>
      <c r="D13" s="372">
        <v>29960</v>
      </c>
      <c r="E13" s="372">
        <v>29760</v>
      </c>
      <c r="F13" s="372">
        <v>29210</v>
      </c>
      <c r="G13" s="372">
        <v>28210</v>
      </c>
      <c r="H13" s="372">
        <v>27038</v>
      </c>
      <c r="I13" s="372">
        <v>27486</v>
      </c>
      <c r="J13" s="372">
        <v>29210</v>
      </c>
      <c r="K13" s="372">
        <v>29760</v>
      </c>
      <c r="L13" s="372">
        <v>30210</v>
      </c>
      <c r="M13" s="372">
        <v>32648</v>
      </c>
      <c r="N13" s="372">
        <f t="shared" si="1"/>
        <v>353512</v>
      </c>
    </row>
    <row r="14" spans="1:14" ht="14.25" customHeight="1">
      <c r="A14" s="160" t="s">
        <v>1007</v>
      </c>
      <c r="B14" s="372">
        <v>27520</v>
      </c>
      <c r="C14" s="372">
        <v>27612</v>
      </c>
      <c r="D14" s="372">
        <v>27562</v>
      </c>
      <c r="E14" s="372">
        <v>27612</v>
      </c>
      <c r="F14" s="372">
        <v>27512</v>
      </c>
      <c r="G14" s="372">
        <v>24997</v>
      </c>
      <c r="H14" s="372">
        <v>24512</v>
      </c>
      <c r="I14" s="372">
        <v>23449</v>
      </c>
      <c r="J14" s="372">
        <v>27512</v>
      </c>
      <c r="K14" s="372">
        <v>27562</v>
      </c>
      <c r="L14" s="372">
        <v>27612</v>
      </c>
      <c r="M14" s="372">
        <v>30314</v>
      </c>
      <c r="N14" s="372">
        <f t="shared" si="1"/>
        <v>323776</v>
      </c>
    </row>
    <row r="15" spans="1:14" ht="11.25" customHeight="1">
      <c r="A15" s="161" t="s">
        <v>1205</v>
      </c>
      <c r="B15" s="372">
        <v>3719</v>
      </c>
      <c r="C15" s="372">
        <v>4360</v>
      </c>
      <c r="D15" s="372">
        <v>4179</v>
      </c>
      <c r="E15" s="372">
        <v>4180</v>
      </c>
      <c r="F15" s="372">
        <v>4179</v>
      </c>
      <c r="G15" s="372">
        <v>4200</v>
      </c>
      <c r="H15" s="372">
        <v>4179</v>
      </c>
      <c r="I15" s="372">
        <v>4659</v>
      </c>
      <c r="J15" s="372">
        <v>4113</v>
      </c>
      <c r="K15" s="372">
        <v>4114</v>
      </c>
      <c r="L15" s="372">
        <v>4113</v>
      </c>
      <c r="M15" s="372">
        <v>4169</v>
      </c>
      <c r="N15" s="372">
        <f t="shared" si="1"/>
        <v>50164</v>
      </c>
    </row>
    <row r="16" spans="1:14" ht="16.5" customHeight="1">
      <c r="A16" s="162" t="s">
        <v>988</v>
      </c>
      <c r="B16" s="372">
        <v>44370</v>
      </c>
      <c r="C16" s="372">
        <v>38153</v>
      </c>
      <c r="D16" s="372">
        <v>36153</v>
      </c>
      <c r="E16" s="372">
        <v>35453</v>
      </c>
      <c r="F16" s="372">
        <v>36150</v>
      </c>
      <c r="G16" s="372">
        <v>33161</v>
      </c>
      <c r="H16" s="372">
        <v>21938</v>
      </c>
      <c r="I16" s="372">
        <v>19785</v>
      </c>
      <c r="J16" s="372">
        <v>25891</v>
      </c>
      <c r="K16" s="372">
        <v>24285</v>
      </c>
      <c r="L16" s="372">
        <v>25185</v>
      </c>
      <c r="M16" s="372">
        <v>24212</v>
      </c>
      <c r="N16" s="372">
        <f t="shared" si="1"/>
        <v>364736</v>
      </c>
    </row>
    <row r="17" spans="1:14" ht="23.25" customHeight="1">
      <c r="A17" s="159" t="s">
        <v>1008</v>
      </c>
      <c r="B17" s="372">
        <v>1728</v>
      </c>
      <c r="C17" s="372">
        <v>1604</v>
      </c>
      <c r="D17" s="372">
        <v>1604</v>
      </c>
      <c r="E17" s="372">
        <v>1604</v>
      </c>
      <c r="F17" s="372">
        <v>1604</v>
      </c>
      <c r="G17" s="372">
        <v>1594</v>
      </c>
      <c r="H17" s="372">
        <v>1594</v>
      </c>
      <c r="I17" s="372">
        <v>1650</v>
      </c>
      <c r="J17" s="372">
        <v>1580</v>
      </c>
      <c r="K17" s="372">
        <v>1579</v>
      </c>
      <c r="L17" s="372">
        <v>1579</v>
      </c>
      <c r="M17" s="372">
        <v>2261</v>
      </c>
      <c r="N17" s="372">
        <f t="shared" si="1"/>
        <v>19981</v>
      </c>
    </row>
    <row r="18" spans="1:14" ht="12.75">
      <c r="A18" s="160" t="s">
        <v>989</v>
      </c>
      <c r="B18" s="372">
        <v>34670</v>
      </c>
      <c r="C18" s="372">
        <v>32627</v>
      </c>
      <c r="D18" s="372">
        <v>41370</v>
      </c>
      <c r="E18" s="372">
        <v>44790</v>
      </c>
      <c r="F18" s="372">
        <v>47070</v>
      </c>
      <c r="G18" s="372">
        <v>45744</v>
      </c>
      <c r="H18" s="372">
        <v>30850</v>
      </c>
      <c r="I18" s="372">
        <v>32070</v>
      </c>
      <c r="J18" s="372">
        <v>30270</v>
      </c>
      <c r="K18" s="372">
        <v>33070</v>
      </c>
      <c r="L18" s="372">
        <v>32093</v>
      </c>
      <c r="M18" s="372">
        <v>31969</v>
      </c>
      <c r="N18" s="372">
        <f>SUM(B18:M18)</f>
        <v>436593</v>
      </c>
    </row>
    <row r="19" spans="1:14" ht="12.75">
      <c r="A19" s="160" t="s">
        <v>990</v>
      </c>
      <c r="B19" s="372">
        <v>36520</v>
      </c>
      <c r="C19" s="372">
        <v>42986</v>
      </c>
      <c r="D19" s="372">
        <v>27583</v>
      </c>
      <c r="E19" s="372">
        <v>26745</v>
      </c>
      <c r="F19" s="372">
        <v>34700</v>
      </c>
      <c r="G19" s="372">
        <v>31610</v>
      </c>
      <c r="H19" s="372">
        <v>32300</v>
      </c>
      <c r="I19" s="372">
        <v>32054</v>
      </c>
      <c r="J19" s="372">
        <v>31000</v>
      </c>
      <c r="K19" s="372">
        <v>27641</v>
      </c>
      <c r="L19" s="372">
        <v>25900</v>
      </c>
      <c r="M19" s="372">
        <v>26300</v>
      </c>
      <c r="N19" s="372">
        <f t="shared" si="1"/>
        <v>375339</v>
      </c>
    </row>
    <row r="20" spans="1:14" ht="15" customHeight="1">
      <c r="A20" s="160" t="s">
        <v>1009</v>
      </c>
      <c r="B20" s="372">
        <v>63740</v>
      </c>
      <c r="C20" s="372">
        <v>61000</v>
      </c>
      <c r="D20" s="372">
        <v>58000</v>
      </c>
      <c r="E20" s="372">
        <v>58000</v>
      </c>
      <c r="F20" s="372">
        <v>58000</v>
      </c>
      <c r="G20" s="372">
        <v>55000</v>
      </c>
      <c r="H20" s="372">
        <v>52000</v>
      </c>
      <c r="I20" s="372">
        <v>53000</v>
      </c>
      <c r="J20" s="372">
        <v>63000</v>
      </c>
      <c r="K20" s="372">
        <v>60000</v>
      </c>
      <c r="L20" s="372">
        <v>60000</v>
      </c>
      <c r="M20" s="372">
        <v>69303</v>
      </c>
      <c r="N20" s="372">
        <f t="shared" si="1"/>
        <v>711043</v>
      </c>
    </row>
    <row r="21" spans="1:14" ht="15.75" customHeight="1">
      <c r="A21" s="160" t="s">
        <v>1010</v>
      </c>
      <c r="B21" s="372">
        <v>10983</v>
      </c>
      <c r="C21" s="372">
        <v>10000</v>
      </c>
      <c r="D21" s="372">
        <v>10000</v>
      </c>
      <c r="E21" s="372">
        <v>10000</v>
      </c>
      <c r="F21" s="372">
        <v>10000</v>
      </c>
      <c r="G21" s="372">
        <v>10000</v>
      </c>
      <c r="H21" s="372">
        <v>10000</v>
      </c>
      <c r="I21" s="372">
        <v>10000</v>
      </c>
      <c r="J21" s="372">
        <v>12500</v>
      </c>
      <c r="K21" s="372">
        <v>13000</v>
      </c>
      <c r="L21" s="372">
        <v>11643</v>
      </c>
      <c r="M21" s="372">
        <v>12000</v>
      </c>
      <c r="N21" s="372">
        <f t="shared" si="1"/>
        <v>130126</v>
      </c>
    </row>
    <row r="22" spans="1:14" ht="14.25" customHeight="1">
      <c r="A22" s="160" t="s">
        <v>1207</v>
      </c>
      <c r="B22" s="372">
        <v>10355</v>
      </c>
      <c r="C22" s="372">
        <v>10355</v>
      </c>
      <c r="D22" s="372">
        <v>10355</v>
      </c>
      <c r="E22" s="372">
        <v>10355</v>
      </c>
      <c r="F22" s="372">
        <v>10355</v>
      </c>
      <c r="G22" s="372">
        <v>10355</v>
      </c>
      <c r="H22" s="372">
        <v>10355</v>
      </c>
      <c r="I22" s="372">
        <v>10355</v>
      </c>
      <c r="J22" s="372">
        <v>10355</v>
      </c>
      <c r="K22" s="372">
        <v>10355</v>
      </c>
      <c r="L22" s="372">
        <v>10355</v>
      </c>
      <c r="M22" s="372">
        <v>10928</v>
      </c>
      <c r="N22" s="372">
        <f t="shared" si="1"/>
        <v>124833</v>
      </c>
    </row>
    <row r="23" spans="1:14" ht="12.75">
      <c r="A23" s="160" t="s">
        <v>1239</v>
      </c>
      <c r="B23" s="372">
        <v>9235</v>
      </c>
      <c r="C23" s="372">
        <v>9235</v>
      </c>
      <c r="D23" s="372">
        <v>9236</v>
      </c>
      <c r="E23" s="372">
        <v>9236</v>
      </c>
      <c r="F23" s="372">
        <v>9236</v>
      </c>
      <c r="G23" s="372">
        <v>9236</v>
      </c>
      <c r="H23" s="372">
        <v>9236</v>
      </c>
      <c r="I23" s="372">
        <v>9236</v>
      </c>
      <c r="J23" s="372">
        <v>9236</v>
      </c>
      <c r="K23" s="372">
        <v>9236</v>
      </c>
      <c r="L23" s="372">
        <v>9236</v>
      </c>
      <c r="M23" s="372">
        <v>9236</v>
      </c>
      <c r="N23" s="372">
        <f t="shared" si="1"/>
        <v>110830</v>
      </c>
    </row>
    <row r="24" spans="1:14" ht="13.5" customHeight="1">
      <c r="A24" s="168" t="s">
        <v>1403</v>
      </c>
      <c r="B24" s="376">
        <f aca="true" t="shared" si="2" ref="B24:M24">SUM(B4:B23)</f>
        <v>2774894</v>
      </c>
      <c r="C24" s="376">
        <f t="shared" si="2"/>
        <v>2893799</v>
      </c>
      <c r="D24" s="376">
        <f t="shared" si="2"/>
        <v>3205175</v>
      </c>
      <c r="E24" s="376">
        <f t="shared" si="2"/>
        <v>4720310</v>
      </c>
      <c r="F24" s="376">
        <f t="shared" si="2"/>
        <v>3958920</v>
      </c>
      <c r="G24" s="376">
        <f t="shared" si="2"/>
        <v>4447175</v>
      </c>
      <c r="H24" s="376">
        <f t="shared" si="2"/>
        <v>3506912</v>
      </c>
      <c r="I24" s="376">
        <f t="shared" si="2"/>
        <v>2918465</v>
      </c>
      <c r="J24" s="376">
        <f t="shared" si="2"/>
        <v>3682835</v>
      </c>
      <c r="K24" s="376">
        <f t="shared" si="2"/>
        <v>4263717</v>
      </c>
      <c r="L24" s="376">
        <f t="shared" si="2"/>
        <v>3343328</v>
      </c>
      <c r="M24" s="376">
        <f t="shared" si="2"/>
        <v>3368776</v>
      </c>
      <c r="N24" s="376">
        <f t="shared" si="1"/>
        <v>43084306</v>
      </c>
    </row>
    <row r="25" spans="2:14" ht="13.5" customHeight="1">
      <c r="B25" s="139"/>
      <c r="C25" s="139"/>
      <c r="D25" s="139"/>
      <c r="E25" s="139"/>
      <c r="F25" s="139"/>
      <c r="G25" s="139"/>
      <c r="N25" s="139"/>
    </row>
    <row r="26" ht="13.5" customHeight="1"/>
    <row r="27" ht="13.5" customHeight="1"/>
    <row r="28" ht="13.5" customHeight="1"/>
  </sheetData>
  <sheetProtection/>
  <printOptions horizontalCentered="1"/>
  <pageMargins left="0.2755905511811024" right="0.35433070866141736" top="1.220472440944882" bottom="0.5905511811023623" header="0.8661417322834646" footer="0.5118110236220472"/>
  <pageSetup fitToHeight="1" fitToWidth="1" horizontalDpi="600" verticalDpi="600" orientation="landscape" paperSize="9" scale="92" r:id="rId1"/>
  <headerFooter alignWithMargins="0">
    <oddHeader>&amp;C&amp;"Times New Roman,Félkövér dőlt"ZALAEGERSZEG MEGYEI JOGÚ VÁROS2019. ÉVI KIADÁSI ELŐIRÁNYZATAINAK 
FELHASZNÁLÁSI ÜTEMTERVE&amp;R&amp;"Times New Roman,Félkövér dőlt"13.b melléklet
Adatok: ezer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D20" sqref="D20"/>
    </sheetView>
  </sheetViews>
  <sheetFormatPr defaultColWidth="10.625" defaultRowHeight="12.75"/>
  <cols>
    <col min="1" max="1" width="61.125" style="343" customWidth="1"/>
    <col min="2" max="2" width="15.125" style="343" customWidth="1"/>
    <col min="3" max="3" width="16.625" style="343" customWidth="1"/>
    <col min="4" max="4" width="16.375" style="343" customWidth="1"/>
    <col min="5" max="5" width="37.00390625" style="343" customWidth="1"/>
    <col min="6" max="16384" width="10.625" style="343" customWidth="1"/>
  </cols>
  <sheetData>
    <row r="1" spans="1:5" ht="12.75">
      <c r="A1" s="328"/>
      <c r="B1" s="328"/>
      <c r="C1" s="328"/>
      <c r="D1" s="328"/>
      <c r="E1" s="328"/>
    </row>
    <row r="2" spans="1:5" ht="12.75">
      <c r="A2" s="328"/>
      <c r="B2" s="328"/>
      <c r="C2" s="328"/>
      <c r="D2" s="328"/>
      <c r="E2" s="328"/>
    </row>
    <row r="3" spans="1:5" ht="12.75">
      <c r="A3" s="328"/>
      <c r="B3" s="328"/>
      <c r="C3" s="328"/>
      <c r="D3" s="328"/>
      <c r="E3" s="328"/>
    </row>
    <row r="4" spans="1:5" ht="12.75">
      <c r="A4" s="328"/>
      <c r="B4" s="328"/>
      <c r="C4" s="328"/>
      <c r="D4" s="328"/>
      <c r="E4" s="328"/>
    </row>
    <row r="5" spans="1:5" ht="25.5">
      <c r="A5" s="344"/>
      <c r="B5" s="345" t="s">
        <v>1359</v>
      </c>
      <c r="C5" s="345" t="s">
        <v>1360</v>
      </c>
      <c r="D5" s="345" t="s">
        <v>1408</v>
      </c>
      <c r="E5" s="346" t="s">
        <v>1361</v>
      </c>
    </row>
    <row r="6" spans="1:5" ht="20.25" customHeight="1">
      <c r="A6" s="347" t="s">
        <v>1362</v>
      </c>
      <c r="B6" s="348">
        <v>126270</v>
      </c>
      <c r="C6" s="348">
        <v>124685</v>
      </c>
      <c r="D6" s="349">
        <v>121802</v>
      </c>
      <c r="E6" s="350" t="s">
        <v>1363</v>
      </c>
    </row>
    <row r="7" spans="1:5" ht="12.75">
      <c r="A7" s="350"/>
      <c r="B7" s="351"/>
      <c r="C7" s="351"/>
      <c r="D7" s="351"/>
      <c r="E7" s="350"/>
    </row>
    <row r="8" spans="1:5" ht="17.25" customHeight="1">
      <c r="A8" s="352" t="s">
        <v>1364</v>
      </c>
      <c r="B8" s="351"/>
      <c r="C8" s="351"/>
      <c r="D8" s="351"/>
      <c r="E8" s="350"/>
    </row>
    <row r="9" spans="1:5" ht="24" customHeight="1">
      <c r="A9" s="353" t="s">
        <v>1365</v>
      </c>
      <c r="B9" s="351">
        <v>150000</v>
      </c>
      <c r="C9" s="351">
        <v>150000</v>
      </c>
      <c r="D9" s="351">
        <v>150000</v>
      </c>
      <c r="E9" s="354" t="s">
        <v>1366</v>
      </c>
    </row>
    <row r="10" spans="1:5" ht="27.75" customHeight="1">
      <c r="A10" s="355" t="s">
        <v>1367</v>
      </c>
      <c r="B10" s="356">
        <v>25000</v>
      </c>
      <c r="C10" s="356">
        <v>25000</v>
      </c>
      <c r="D10" s="356">
        <v>25000</v>
      </c>
      <c r="E10" s="353" t="s">
        <v>1368</v>
      </c>
    </row>
    <row r="11" spans="1:5" ht="27" customHeight="1">
      <c r="A11" s="355" t="s">
        <v>1367</v>
      </c>
      <c r="B11" s="356">
        <v>20783</v>
      </c>
      <c r="C11" s="356">
        <v>20783</v>
      </c>
      <c r="D11" s="356"/>
      <c r="E11" s="355" t="s">
        <v>1369</v>
      </c>
    </row>
    <row r="12" spans="1:5" ht="33" customHeight="1">
      <c r="A12" s="353" t="s">
        <v>1370</v>
      </c>
      <c r="B12" s="356">
        <v>25000</v>
      </c>
      <c r="C12" s="356">
        <v>25000</v>
      </c>
      <c r="D12" s="356">
        <v>25000</v>
      </c>
      <c r="E12" s="355" t="s">
        <v>1371</v>
      </c>
    </row>
    <row r="13" spans="1:5" ht="18.75" customHeight="1">
      <c r="A13" s="352" t="s">
        <v>1372</v>
      </c>
      <c r="B13" s="348">
        <v>230783</v>
      </c>
      <c r="C13" s="348">
        <v>220783</v>
      </c>
      <c r="D13" s="348">
        <f>SUM(D9:D12)</f>
        <v>200000</v>
      </c>
      <c r="E13" s="357"/>
    </row>
    <row r="14" spans="1:5" ht="12.75">
      <c r="A14" s="352"/>
      <c r="B14" s="348"/>
      <c r="C14" s="348"/>
      <c r="D14" s="348"/>
      <c r="E14" s="357"/>
    </row>
    <row r="15" spans="1:5" ht="12.75">
      <c r="A15" s="352" t="s">
        <v>1373</v>
      </c>
      <c r="B15" s="351"/>
      <c r="C15" s="351"/>
      <c r="D15" s="351"/>
      <c r="E15" s="357"/>
    </row>
    <row r="16" spans="1:5" s="361" customFormat="1" ht="26.25" customHeight="1">
      <c r="A16" s="358" t="s">
        <v>1374</v>
      </c>
      <c r="B16" s="359">
        <v>8904</v>
      </c>
      <c r="C16" s="359">
        <v>8904</v>
      </c>
      <c r="D16" s="359">
        <v>4470</v>
      </c>
      <c r="E16" s="360" t="s">
        <v>1375</v>
      </c>
    </row>
    <row r="17" spans="1:5" ht="28.5" customHeight="1">
      <c r="A17" s="355" t="s">
        <v>1376</v>
      </c>
      <c r="B17" s="359">
        <v>36663</v>
      </c>
      <c r="C17" s="351">
        <v>36663</v>
      </c>
      <c r="D17" s="351">
        <v>18645</v>
      </c>
      <c r="E17" s="360" t="s">
        <v>1377</v>
      </c>
    </row>
    <row r="18" spans="1:5" s="361" customFormat="1" ht="29.25" customHeight="1">
      <c r="A18" s="358" t="s">
        <v>1378</v>
      </c>
      <c r="B18" s="359">
        <v>93750</v>
      </c>
      <c r="C18" s="359">
        <v>93750</v>
      </c>
      <c r="D18" s="359">
        <v>93750</v>
      </c>
      <c r="E18" s="360" t="s">
        <v>1379</v>
      </c>
    </row>
    <row r="19" spans="1:5" s="361" customFormat="1" ht="28.5" customHeight="1">
      <c r="A19" s="358" t="s">
        <v>1380</v>
      </c>
      <c r="B19" s="359">
        <v>27000</v>
      </c>
      <c r="C19" s="359">
        <v>27000</v>
      </c>
      <c r="D19" s="359">
        <v>27000</v>
      </c>
      <c r="E19" s="360" t="s">
        <v>1381</v>
      </c>
    </row>
    <row r="20" spans="1:5" ht="19.5" customHeight="1">
      <c r="A20" s="347" t="s">
        <v>1382</v>
      </c>
      <c r="B20" s="348">
        <f>SUM(B16:B19)</f>
        <v>166317</v>
      </c>
      <c r="C20" s="348">
        <f>SUM(C16:C19)</f>
        <v>166317</v>
      </c>
      <c r="D20" s="348">
        <f>SUM(D16:D19)</f>
        <v>143865</v>
      </c>
      <c r="E20" s="357"/>
    </row>
    <row r="21" spans="1:5" ht="19.5" customHeight="1">
      <c r="A21" s="362" t="s">
        <v>1383</v>
      </c>
      <c r="B21" s="363">
        <v>483789</v>
      </c>
      <c r="C21" s="363">
        <v>472248</v>
      </c>
      <c r="D21" s="363">
        <f>D6+D13+D20</f>
        <v>465667</v>
      </c>
      <c r="E21" s="362"/>
    </row>
    <row r="22" spans="1:5" ht="12.75">
      <c r="A22" s="328"/>
      <c r="B22" s="328"/>
      <c r="C22" s="328"/>
      <c r="D22" s="328"/>
      <c r="E22" s="328"/>
    </row>
    <row r="23" spans="1:5" ht="12.75">
      <c r="A23" s="328"/>
      <c r="B23" s="328"/>
      <c r="C23" s="328"/>
      <c r="D23" s="328"/>
      <c r="E23" s="328"/>
    </row>
    <row r="24" spans="1:5" ht="12.75">
      <c r="A24" s="364" t="s">
        <v>572</v>
      </c>
      <c r="B24" s="365"/>
      <c r="C24" s="365"/>
      <c r="D24" s="365"/>
      <c r="E24" s="365"/>
    </row>
  </sheetData>
  <sheetProtection/>
  <printOptions horizontalCentered="1" verticalCentered="1"/>
  <pageMargins left="0.3937007874015748" right="0.3937007874015748" top="0.5905511811023623" bottom="0.7874015748031497" header="0.11811023622047245" footer="0.31496062992125984"/>
  <pageSetup horizontalDpi="300" verticalDpi="300" orientation="landscape" paperSize="9" scale="90" r:id="rId1"/>
  <headerFooter alignWithMargins="0">
    <oddHeader>&amp;C&amp;"Times New Roman CE,Félkövér"&amp;12Több éves kihatással járó döntések számszerűsítése évenkénti bontása&amp;R14. melléklet
Adatok: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3">
      <selection activeCell="D40" sqref="D40"/>
    </sheetView>
  </sheetViews>
  <sheetFormatPr defaultColWidth="9.00390625" defaultRowHeight="12.75"/>
  <cols>
    <col min="1" max="1" width="7.50390625" style="18" customWidth="1"/>
    <col min="2" max="2" width="65.50390625" style="17" customWidth="1"/>
    <col min="3" max="5" width="14.375" style="17" customWidth="1"/>
    <col min="6" max="16384" width="9.375" style="16" customWidth="1"/>
  </cols>
  <sheetData>
    <row r="1" spans="1:5" ht="55.5" customHeight="1" thickBot="1">
      <c r="A1" s="39" t="s">
        <v>918</v>
      </c>
      <c r="B1" s="40" t="s">
        <v>857</v>
      </c>
      <c r="C1" s="41" t="s">
        <v>679</v>
      </c>
      <c r="D1" s="41" t="s">
        <v>750</v>
      </c>
      <c r="E1" s="41" t="s">
        <v>752</v>
      </c>
    </row>
    <row r="2" spans="1:5" s="15" customFormat="1" ht="14.25" customHeight="1">
      <c r="A2" s="574" t="s">
        <v>435</v>
      </c>
      <c r="B2" s="575" t="s">
        <v>655</v>
      </c>
      <c r="C2" s="575"/>
      <c r="D2" s="575"/>
      <c r="E2" s="575"/>
    </row>
    <row r="3" spans="1:5" ht="14.25" customHeight="1">
      <c r="A3" s="574" t="s">
        <v>436</v>
      </c>
      <c r="B3" s="575" t="s">
        <v>437</v>
      </c>
      <c r="C3" s="576"/>
      <c r="D3" s="575"/>
      <c r="E3" s="576"/>
    </row>
    <row r="4" spans="1:5" ht="14.25" customHeight="1">
      <c r="A4" s="577" t="s">
        <v>438</v>
      </c>
      <c r="B4" s="576" t="s">
        <v>439</v>
      </c>
      <c r="C4" s="576"/>
      <c r="D4" s="576"/>
      <c r="E4" s="576"/>
    </row>
    <row r="5" spans="1:7" ht="18" customHeight="1">
      <c r="A5" s="578" t="s">
        <v>440</v>
      </c>
      <c r="B5" s="576" t="s">
        <v>441</v>
      </c>
      <c r="C5" s="576">
        <v>101340</v>
      </c>
      <c r="D5" s="576">
        <v>3402</v>
      </c>
      <c r="E5" s="576">
        <f aca="true" t="shared" si="0" ref="E5:E12">SUM(C5:D5)</f>
        <v>104742</v>
      </c>
      <c r="F5"/>
      <c r="G5"/>
    </row>
    <row r="6" spans="1:7" ht="18" customHeight="1">
      <c r="A6" s="578" t="s">
        <v>442</v>
      </c>
      <c r="B6" s="576" t="s">
        <v>455</v>
      </c>
      <c r="C6" s="225">
        <v>986394</v>
      </c>
      <c r="D6" s="576"/>
      <c r="E6" s="576">
        <f t="shared" si="0"/>
        <v>986394</v>
      </c>
      <c r="F6"/>
      <c r="G6"/>
    </row>
    <row r="7" spans="1:7" ht="24.75" customHeight="1">
      <c r="A7" s="578" t="s">
        <v>443</v>
      </c>
      <c r="B7" s="576" t="s">
        <v>444</v>
      </c>
      <c r="C7" s="82">
        <v>1168048</v>
      </c>
      <c r="D7" s="576">
        <v>24842</v>
      </c>
      <c r="E7" s="576">
        <f t="shared" si="0"/>
        <v>1192890</v>
      </c>
      <c r="F7"/>
      <c r="G7"/>
    </row>
    <row r="8" spans="1:7" ht="15" customHeight="1">
      <c r="A8" s="578" t="s">
        <v>445</v>
      </c>
      <c r="B8" s="576" t="s">
        <v>447</v>
      </c>
      <c r="C8" s="82">
        <v>715427</v>
      </c>
      <c r="D8" s="576">
        <v>17339</v>
      </c>
      <c r="E8" s="576">
        <f t="shared" si="0"/>
        <v>732766</v>
      </c>
      <c r="F8"/>
      <c r="G8"/>
    </row>
    <row r="9" spans="1:5" ht="16.5" customHeight="1">
      <c r="A9" s="578" t="s">
        <v>446</v>
      </c>
      <c r="B9" s="576" t="s">
        <v>609</v>
      </c>
      <c r="C9" s="576"/>
      <c r="D9" s="576"/>
      <c r="E9" s="576">
        <f t="shared" si="0"/>
        <v>0</v>
      </c>
    </row>
    <row r="10" spans="1:5" ht="15" customHeight="1">
      <c r="A10" s="578" t="s">
        <v>95</v>
      </c>
      <c r="B10" s="576" t="s">
        <v>96</v>
      </c>
      <c r="C10" s="576"/>
      <c r="D10" s="576"/>
      <c r="E10" s="576">
        <f t="shared" si="0"/>
        <v>0</v>
      </c>
    </row>
    <row r="11" spans="1:5" ht="24.75" customHeight="1">
      <c r="A11" s="577" t="s">
        <v>97</v>
      </c>
      <c r="B11" s="576" t="s">
        <v>98</v>
      </c>
      <c r="C11" s="576">
        <v>45425</v>
      </c>
      <c r="D11" s="576"/>
      <c r="E11" s="576">
        <f t="shared" si="0"/>
        <v>45425</v>
      </c>
    </row>
    <row r="12" spans="1:5" ht="18.75" customHeight="1">
      <c r="A12" s="577" t="s">
        <v>737</v>
      </c>
      <c r="B12" s="576" t="s">
        <v>738</v>
      </c>
      <c r="C12" s="576">
        <v>614159</v>
      </c>
      <c r="D12" s="576">
        <v>4500</v>
      </c>
      <c r="E12" s="576">
        <f t="shared" si="0"/>
        <v>618659</v>
      </c>
    </row>
    <row r="13" spans="1:5" s="15" customFormat="1" ht="22.5" customHeight="1">
      <c r="A13" s="41"/>
      <c r="B13" s="38" t="s">
        <v>448</v>
      </c>
      <c r="C13" s="38">
        <f>SUM(C4:C12)</f>
        <v>3630793</v>
      </c>
      <c r="D13" s="38">
        <f>SUM(D4:D12)</f>
        <v>50083</v>
      </c>
      <c r="E13" s="38">
        <f>SUM(E4:E12)</f>
        <v>3680876</v>
      </c>
    </row>
    <row r="14" spans="1:5" ht="14.25" customHeight="1">
      <c r="A14" s="574" t="s">
        <v>449</v>
      </c>
      <c r="B14" s="575" t="s">
        <v>450</v>
      </c>
      <c r="C14" s="576"/>
      <c r="D14" s="575"/>
      <c r="E14" s="576"/>
    </row>
    <row r="15" spans="1:5" ht="14.25" customHeight="1">
      <c r="A15" s="577" t="s">
        <v>451</v>
      </c>
      <c r="B15" s="576" t="s">
        <v>452</v>
      </c>
      <c r="C15" s="576"/>
      <c r="D15" s="576"/>
      <c r="E15" s="576">
        <f>SUM(C15:D15)</f>
        <v>0</v>
      </c>
    </row>
    <row r="16" spans="1:5" ht="17.25" customHeight="1">
      <c r="A16" s="577" t="s">
        <v>453</v>
      </c>
      <c r="B16" s="576" t="s">
        <v>454</v>
      </c>
      <c r="C16" s="576">
        <v>6296455</v>
      </c>
      <c r="D16" s="576">
        <v>10100</v>
      </c>
      <c r="E16" s="576">
        <f>SUM(C16:D16)</f>
        <v>6306555</v>
      </c>
    </row>
    <row r="17" spans="1:5" s="15" customFormat="1" ht="18.75" customHeight="1">
      <c r="A17" s="41"/>
      <c r="B17" s="38" t="s">
        <v>456</v>
      </c>
      <c r="C17" s="38">
        <f>SUM(C15:C16)</f>
        <v>6296455</v>
      </c>
      <c r="D17" s="38">
        <f>SUM(D15:D16)</f>
        <v>10100</v>
      </c>
      <c r="E17" s="38">
        <f>SUM(E15:E16)</f>
        <v>6306555</v>
      </c>
    </row>
    <row r="18" spans="1:5" ht="14.25" customHeight="1">
      <c r="A18" s="574" t="s">
        <v>457</v>
      </c>
      <c r="B18" s="575" t="s">
        <v>354</v>
      </c>
      <c r="C18" s="576"/>
      <c r="D18" s="575"/>
      <c r="E18" s="576"/>
    </row>
    <row r="19" spans="1:5" ht="14.25" customHeight="1">
      <c r="A19" s="579" t="s">
        <v>610</v>
      </c>
      <c r="B19" s="580" t="s">
        <v>611</v>
      </c>
      <c r="C19" s="576">
        <v>1020000</v>
      </c>
      <c r="D19" s="580"/>
      <c r="E19" s="576">
        <f aca="true" t="shared" si="1" ref="E19:E24">SUM(C19:D19)</f>
        <v>1020000</v>
      </c>
    </row>
    <row r="20" spans="1:5" ht="14.25" customHeight="1">
      <c r="A20" s="577" t="s">
        <v>458</v>
      </c>
      <c r="B20" s="576" t="s">
        <v>460</v>
      </c>
      <c r="C20" s="576"/>
      <c r="D20" s="576"/>
      <c r="E20" s="576">
        <f t="shared" si="1"/>
        <v>0</v>
      </c>
    </row>
    <row r="21" spans="1:5" ht="14.25" customHeight="1">
      <c r="A21" s="578" t="s">
        <v>459</v>
      </c>
      <c r="B21" s="576" t="s">
        <v>205</v>
      </c>
      <c r="C21" s="576">
        <v>4100000</v>
      </c>
      <c r="D21" s="576"/>
      <c r="E21" s="576">
        <f t="shared" si="1"/>
        <v>4100000</v>
      </c>
    </row>
    <row r="22" spans="1:5" ht="14.25" customHeight="1">
      <c r="A22" s="578" t="s">
        <v>461</v>
      </c>
      <c r="B22" s="576" t="s">
        <v>510</v>
      </c>
      <c r="C22" s="576">
        <v>264000</v>
      </c>
      <c r="D22" s="576"/>
      <c r="E22" s="576">
        <f t="shared" si="1"/>
        <v>264000</v>
      </c>
    </row>
    <row r="23" spans="1:5" ht="15" customHeight="1">
      <c r="A23" s="578" t="s">
        <v>511</v>
      </c>
      <c r="B23" s="576" t="s">
        <v>681</v>
      </c>
      <c r="C23" s="576">
        <v>20000</v>
      </c>
      <c r="D23" s="576"/>
      <c r="E23" s="576">
        <f t="shared" si="1"/>
        <v>20000</v>
      </c>
    </row>
    <row r="24" spans="1:5" ht="14.25" customHeight="1">
      <c r="A24" s="577" t="s">
        <v>512</v>
      </c>
      <c r="B24" s="576" t="s">
        <v>680</v>
      </c>
      <c r="C24" s="576">
        <v>10000</v>
      </c>
      <c r="D24" s="576"/>
      <c r="E24" s="576">
        <f t="shared" si="1"/>
        <v>10000</v>
      </c>
    </row>
    <row r="25" spans="1:5" ht="15" customHeight="1">
      <c r="A25" s="41"/>
      <c r="B25" s="38" t="s">
        <v>513</v>
      </c>
      <c r="C25" s="38">
        <f>SUM(C18:C24)</f>
        <v>5414000</v>
      </c>
      <c r="D25" s="38">
        <f>SUM(D18:D24)</f>
        <v>0</v>
      </c>
      <c r="E25" s="38">
        <f>SUM(E18:E24)</f>
        <v>5414000</v>
      </c>
    </row>
    <row r="26" spans="1:5" ht="15" customHeight="1">
      <c r="A26" s="41" t="s">
        <v>514</v>
      </c>
      <c r="B26" s="38" t="s">
        <v>1243</v>
      </c>
      <c r="C26" s="38">
        <v>6244796</v>
      </c>
      <c r="D26" s="38">
        <v>56578</v>
      </c>
      <c r="E26" s="38">
        <f>SUM(C26:D26)</f>
        <v>6301374</v>
      </c>
    </row>
    <row r="27" spans="1:5" ht="15" customHeight="1">
      <c r="A27" s="574" t="s">
        <v>515</v>
      </c>
      <c r="B27" s="575" t="s">
        <v>1244</v>
      </c>
      <c r="C27" s="576"/>
      <c r="D27" s="575"/>
      <c r="E27" s="576"/>
    </row>
    <row r="28" spans="1:5" ht="15" customHeight="1">
      <c r="A28" s="180" t="s">
        <v>516</v>
      </c>
      <c r="B28" s="576" t="s">
        <v>517</v>
      </c>
      <c r="C28" s="576">
        <v>226720</v>
      </c>
      <c r="D28" s="576"/>
      <c r="E28" s="576">
        <f>SUM(C28:D28)</f>
        <v>226720</v>
      </c>
    </row>
    <row r="29" spans="1:5" ht="15" customHeight="1">
      <c r="A29" s="180" t="s">
        <v>612</v>
      </c>
      <c r="B29" s="576" t="s">
        <v>613</v>
      </c>
      <c r="C29" s="576"/>
      <c r="D29" s="576"/>
      <c r="E29" s="576">
        <f>SUM(C29:D29)</f>
        <v>0</v>
      </c>
    </row>
    <row r="30" spans="1:5" ht="15" customHeight="1">
      <c r="A30" s="64"/>
      <c r="B30" s="38" t="s">
        <v>518</v>
      </c>
      <c r="C30" s="38">
        <f>SUM(C28:C29)</f>
        <v>226720</v>
      </c>
      <c r="D30" s="38">
        <f>SUM(D28:D29)</f>
        <v>0</v>
      </c>
      <c r="E30" s="38">
        <f>SUM(E28:E29)</f>
        <v>226720</v>
      </c>
    </row>
    <row r="31" spans="1:5" ht="15" customHeight="1">
      <c r="A31" s="41" t="s">
        <v>519</v>
      </c>
      <c r="B31" s="38" t="s">
        <v>1245</v>
      </c>
      <c r="C31" s="38">
        <v>93949</v>
      </c>
      <c r="D31" s="38">
        <v>322</v>
      </c>
      <c r="E31" s="38">
        <f>SUM(C31:D31)</f>
        <v>94271</v>
      </c>
    </row>
    <row r="32" spans="1:5" ht="15" customHeight="1">
      <c r="A32" s="574" t="s">
        <v>520</v>
      </c>
      <c r="B32" s="575" t="s">
        <v>1246</v>
      </c>
      <c r="C32" s="575"/>
      <c r="D32" s="575"/>
      <c r="E32" s="575"/>
    </row>
    <row r="33" spans="1:5" ht="24.75" customHeight="1">
      <c r="A33" s="180" t="s">
        <v>521</v>
      </c>
      <c r="B33" s="576" t="s">
        <v>522</v>
      </c>
      <c r="C33" s="576">
        <v>5000</v>
      </c>
      <c r="D33" s="576">
        <v>900</v>
      </c>
      <c r="E33" s="576">
        <f>SUM(C33:D33)</f>
        <v>5900</v>
      </c>
    </row>
    <row r="34" spans="1:5" ht="15" customHeight="1">
      <c r="A34" s="180" t="s">
        <v>523</v>
      </c>
      <c r="B34" s="576" t="s">
        <v>524</v>
      </c>
      <c r="C34" s="576"/>
      <c r="D34" s="576">
        <v>193624</v>
      </c>
      <c r="E34" s="576">
        <f>SUM(C34:D34)</f>
        <v>193624</v>
      </c>
    </row>
    <row r="35" spans="1:5" ht="15" customHeight="1">
      <c r="A35" s="64"/>
      <c r="B35" s="38" t="s">
        <v>525</v>
      </c>
      <c r="C35" s="38">
        <f>SUM(C33:C34)</f>
        <v>5000</v>
      </c>
      <c r="D35" s="38">
        <f>SUM(D33:D34)</f>
        <v>194524</v>
      </c>
      <c r="E35" s="38">
        <f>SUM(E33:E34)</f>
        <v>199524</v>
      </c>
    </row>
    <row r="36" spans="1:5" ht="15" customHeight="1">
      <c r="A36" s="41" t="s">
        <v>526</v>
      </c>
      <c r="B36" s="38" t="s">
        <v>870</v>
      </c>
      <c r="C36" s="38">
        <f>SUM(C13+C17+C25+C26+C30+C31+C35)</f>
        <v>21911713</v>
      </c>
      <c r="D36" s="38">
        <f>SUM(D13+D17+D25+D26+D30+D31+D35)</f>
        <v>311607</v>
      </c>
      <c r="E36" s="38">
        <f>SUM(E13+E17+E25+E26+E30+E31+E35)</f>
        <v>22223320</v>
      </c>
    </row>
    <row r="37" spans="1:5" ht="15.75" customHeight="1">
      <c r="A37" s="574" t="s">
        <v>527</v>
      </c>
      <c r="B37" s="575" t="s">
        <v>1247</v>
      </c>
      <c r="C37" s="575"/>
      <c r="D37" s="575"/>
      <c r="E37" s="575"/>
    </row>
    <row r="38" spans="1:5" ht="14.25" customHeight="1">
      <c r="A38" s="577" t="s">
        <v>528</v>
      </c>
      <c r="B38" s="576" t="s">
        <v>529</v>
      </c>
      <c r="C38" s="576"/>
      <c r="D38" s="576"/>
      <c r="E38" s="576"/>
    </row>
    <row r="39" spans="1:5" ht="14.25" customHeight="1">
      <c r="A39" s="581" t="s">
        <v>530</v>
      </c>
      <c r="B39" s="582" t="s">
        <v>531</v>
      </c>
      <c r="C39" s="576">
        <v>190999</v>
      </c>
      <c r="D39" s="582"/>
      <c r="E39" s="576">
        <f>SUM(C39:D39)</f>
        <v>190999</v>
      </c>
    </row>
    <row r="40" spans="1:5" ht="14.25" customHeight="1">
      <c r="A40" s="581" t="s">
        <v>1275</v>
      </c>
      <c r="B40" s="583" t="s">
        <v>1274</v>
      </c>
      <c r="C40" s="576">
        <v>11454275</v>
      </c>
      <c r="D40" s="581">
        <v>796033</v>
      </c>
      <c r="E40" s="576">
        <f>SUM(C40:D40)</f>
        <v>12250308</v>
      </c>
    </row>
    <row r="41" spans="1:5" ht="14.25" customHeight="1">
      <c r="A41" s="581" t="s">
        <v>532</v>
      </c>
      <c r="B41" s="582" t="s">
        <v>872</v>
      </c>
      <c r="C41" s="576">
        <v>9527319</v>
      </c>
      <c r="D41" s="582">
        <v>-6905</v>
      </c>
      <c r="E41" s="576">
        <f>SUM(C41:D41)</f>
        <v>9520414</v>
      </c>
    </row>
    <row r="42" spans="1:5" ht="14.25" customHeight="1">
      <c r="A42" s="581" t="s">
        <v>753</v>
      </c>
      <c r="B42" s="582" t="s">
        <v>754</v>
      </c>
      <c r="C42" s="576"/>
      <c r="D42" s="582">
        <v>553</v>
      </c>
      <c r="E42" s="576">
        <f>SUM(C42:D42)</f>
        <v>553</v>
      </c>
    </row>
    <row r="43" spans="1:5" ht="14.25" customHeight="1">
      <c r="A43" s="112"/>
      <c r="B43" s="38" t="s">
        <v>533</v>
      </c>
      <c r="C43" s="38">
        <f>SUM(C39:C41)</f>
        <v>21172593</v>
      </c>
      <c r="D43" s="38">
        <f>SUM(D39:D42)</f>
        <v>789681</v>
      </c>
      <c r="E43" s="38">
        <f>SUM(E39:E42)</f>
        <v>21962274</v>
      </c>
    </row>
    <row r="44" spans="1:5" ht="15.75" customHeight="1">
      <c r="A44" s="41"/>
      <c r="B44" s="38" t="s">
        <v>534</v>
      </c>
      <c r="C44" s="38">
        <f>SUM(C36+C43)</f>
        <v>43084306</v>
      </c>
      <c r="D44" s="38">
        <f>SUM(D36+D43)</f>
        <v>1101288</v>
      </c>
      <c r="E44" s="38">
        <f>SUM(E36+E43)</f>
        <v>44185594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2019.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zoomScale="90" zoomScaleNormal="90" workbookViewId="0" topLeftCell="A1">
      <pane xSplit="1" ySplit="2" topLeftCell="R60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A88" sqref="A88"/>
    </sheetView>
  </sheetViews>
  <sheetFormatPr defaultColWidth="9.00390625" defaultRowHeight="12.75"/>
  <cols>
    <col min="1" max="1" width="67.625" style="149" customWidth="1"/>
    <col min="2" max="4" width="10.125" style="149" hidden="1" customWidth="1"/>
    <col min="5" max="5" width="10.875" style="149" hidden="1" customWidth="1"/>
    <col min="6" max="6" width="10.375" style="149" hidden="1" customWidth="1"/>
    <col min="7" max="8" width="9.625" style="153" hidden="1" customWidth="1"/>
    <col min="9" max="9" width="11.625" style="153" hidden="1" customWidth="1"/>
    <col min="10" max="10" width="12.00390625" style="153" hidden="1" customWidth="1"/>
    <col min="11" max="11" width="11.50390625" style="153" hidden="1" customWidth="1"/>
    <col min="12" max="12" width="15.00390625" style="153" hidden="1" customWidth="1"/>
    <col min="13" max="13" width="10.50390625" style="153" hidden="1" customWidth="1"/>
    <col min="14" max="14" width="11.00390625" style="153" hidden="1" customWidth="1"/>
    <col min="15" max="15" width="11.125" style="153" hidden="1" customWidth="1"/>
    <col min="16" max="16" width="10.50390625" style="153" hidden="1" customWidth="1"/>
    <col min="17" max="17" width="10.625" style="153" hidden="1" customWidth="1"/>
    <col min="18" max="20" width="10.625" style="153" customWidth="1"/>
    <col min="21" max="21" width="14.50390625" style="153" customWidth="1"/>
    <col min="22" max="27" width="10.625" style="153" customWidth="1"/>
    <col min="28" max="28" width="15.125" style="153" hidden="1" customWidth="1"/>
    <col min="29" max="29" width="14.875" style="149" hidden="1" customWidth="1"/>
    <col min="30" max="30" width="11.50390625" style="149" customWidth="1"/>
    <col min="31" max="16384" width="9.375" style="149" customWidth="1"/>
  </cols>
  <sheetData>
    <row r="1" spans="1:28" ht="15" customHeight="1" thickBot="1">
      <c r="A1" s="148"/>
      <c r="B1" s="521" t="s">
        <v>99</v>
      </c>
      <c r="C1" s="522"/>
      <c r="D1" s="522"/>
      <c r="E1" s="522"/>
      <c r="F1" s="522"/>
      <c r="G1" s="521" t="s">
        <v>962</v>
      </c>
      <c r="H1" s="522"/>
      <c r="I1" s="522"/>
      <c r="J1" s="522"/>
      <c r="K1" s="522"/>
      <c r="L1" s="524" t="s">
        <v>904</v>
      </c>
      <c r="M1" s="521" t="s">
        <v>962</v>
      </c>
      <c r="N1" s="522"/>
      <c r="O1" s="522"/>
      <c r="P1" s="522"/>
      <c r="Q1" s="522"/>
      <c r="R1" s="521" t="s">
        <v>755</v>
      </c>
      <c r="S1" s="522"/>
      <c r="T1" s="522"/>
      <c r="U1" s="522"/>
      <c r="V1" s="523"/>
      <c r="W1" s="521" t="s">
        <v>756</v>
      </c>
      <c r="X1" s="522"/>
      <c r="Y1" s="522"/>
      <c r="Z1" s="522"/>
      <c r="AA1" s="523"/>
      <c r="AB1" s="584"/>
    </row>
    <row r="2" spans="1:28" ht="32.25" customHeight="1" thickBot="1">
      <c r="A2" s="150" t="s">
        <v>231</v>
      </c>
      <c r="B2" s="151" t="s">
        <v>232</v>
      </c>
      <c r="C2" s="152" t="s">
        <v>233</v>
      </c>
      <c r="D2" s="152" t="s">
        <v>234</v>
      </c>
      <c r="E2" s="152" t="s">
        <v>880</v>
      </c>
      <c r="F2" s="226" t="s">
        <v>235</v>
      </c>
      <c r="G2" s="289" t="s">
        <v>232</v>
      </c>
      <c r="H2" s="290" t="s">
        <v>233</v>
      </c>
      <c r="I2" s="290" t="s">
        <v>234</v>
      </c>
      <c r="J2" s="290" t="s">
        <v>880</v>
      </c>
      <c r="K2" s="291" t="s">
        <v>235</v>
      </c>
      <c r="L2" s="525"/>
      <c r="M2" s="289" t="s">
        <v>232</v>
      </c>
      <c r="N2" s="290" t="s">
        <v>233</v>
      </c>
      <c r="O2" s="290" t="s">
        <v>234</v>
      </c>
      <c r="P2" s="290" t="s">
        <v>880</v>
      </c>
      <c r="Q2" s="291" t="s">
        <v>235</v>
      </c>
      <c r="R2" s="289" t="s">
        <v>232</v>
      </c>
      <c r="S2" s="290" t="s">
        <v>233</v>
      </c>
      <c r="T2" s="290" t="s">
        <v>234</v>
      </c>
      <c r="U2" s="290" t="s">
        <v>880</v>
      </c>
      <c r="V2" s="325" t="s">
        <v>235</v>
      </c>
      <c r="W2" s="289" t="s">
        <v>232</v>
      </c>
      <c r="X2" s="290" t="s">
        <v>233</v>
      </c>
      <c r="Y2" s="290" t="s">
        <v>234</v>
      </c>
      <c r="Z2" s="290" t="s">
        <v>880</v>
      </c>
      <c r="AA2" s="325" t="s">
        <v>235</v>
      </c>
      <c r="AB2" s="585" t="s">
        <v>963</v>
      </c>
    </row>
    <row r="3" spans="1:28" ht="11.25" customHeight="1">
      <c r="A3" s="586" t="s">
        <v>906</v>
      </c>
      <c r="B3" s="586"/>
      <c r="C3" s="586"/>
      <c r="D3" s="586"/>
      <c r="E3" s="586"/>
      <c r="F3" s="586"/>
      <c r="G3" s="587" t="s">
        <v>964</v>
      </c>
      <c r="H3" s="588"/>
      <c r="I3" s="588"/>
      <c r="J3" s="588"/>
      <c r="K3" s="589"/>
      <c r="L3" s="227"/>
      <c r="M3" s="518" t="s">
        <v>965</v>
      </c>
      <c r="N3" s="519"/>
      <c r="O3" s="519"/>
      <c r="P3" s="519"/>
      <c r="Q3" s="520"/>
      <c r="R3" s="518"/>
      <c r="S3" s="519"/>
      <c r="T3" s="519"/>
      <c r="U3" s="519"/>
      <c r="V3" s="520"/>
      <c r="W3" s="518"/>
      <c r="X3" s="519"/>
      <c r="Y3" s="519"/>
      <c r="Z3" s="519"/>
      <c r="AA3" s="520"/>
      <c r="AB3" s="590"/>
    </row>
    <row r="4" spans="1:28" ht="13.5" customHeight="1">
      <c r="A4" s="591" t="s">
        <v>236</v>
      </c>
      <c r="B4" s="591"/>
      <c r="C4" s="591"/>
      <c r="D4" s="591"/>
      <c r="E4" s="591"/>
      <c r="F4" s="591"/>
      <c r="G4" s="592"/>
      <c r="H4" s="592"/>
      <c r="I4" s="592"/>
      <c r="J4" s="592"/>
      <c r="K4" s="592"/>
      <c r="L4" s="227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</row>
    <row r="5" spans="1:29" ht="15" customHeight="1">
      <c r="A5" s="593" t="s">
        <v>614</v>
      </c>
      <c r="B5" s="594"/>
      <c r="C5" s="594">
        <v>132.85</v>
      </c>
      <c r="D5" s="592">
        <v>4580000</v>
      </c>
      <c r="E5" s="592">
        <v>608453</v>
      </c>
      <c r="F5" s="592"/>
      <c r="G5" s="594"/>
      <c r="H5" s="292">
        <v>132.45</v>
      </c>
      <c r="I5" s="293">
        <v>4580000</v>
      </c>
      <c r="J5" s="592">
        <v>606621</v>
      </c>
      <c r="K5" s="592"/>
      <c r="L5" s="228"/>
      <c r="M5" s="594"/>
      <c r="N5" s="594">
        <v>132.45</v>
      </c>
      <c r="O5" s="592">
        <v>4580000</v>
      </c>
      <c r="P5" s="592">
        <v>606621</v>
      </c>
      <c r="Q5" s="592"/>
      <c r="R5" s="594"/>
      <c r="S5" s="594">
        <v>132.45</v>
      </c>
      <c r="T5" s="592">
        <v>4580000</v>
      </c>
      <c r="U5" s="592">
        <v>606621</v>
      </c>
      <c r="V5" s="592"/>
      <c r="W5" s="594"/>
      <c r="X5" s="594">
        <v>132.45</v>
      </c>
      <c r="Y5" s="592">
        <v>4580000</v>
      </c>
      <c r="Z5" s="592">
        <v>606621</v>
      </c>
      <c r="AA5" s="592"/>
      <c r="AB5" s="595"/>
      <c r="AC5" s="595">
        <v>606621000</v>
      </c>
    </row>
    <row r="6" spans="1:30" ht="15" customHeight="1">
      <c r="A6" s="593" t="s">
        <v>881</v>
      </c>
      <c r="B6" s="594"/>
      <c r="C6" s="594"/>
      <c r="D6" s="592"/>
      <c r="E6" s="592"/>
      <c r="F6" s="592">
        <v>0</v>
      </c>
      <c r="G6" s="594"/>
      <c r="H6" s="594"/>
      <c r="I6" s="592"/>
      <c r="J6" s="592"/>
      <c r="K6" s="592">
        <v>0</v>
      </c>
      <c r="L6" s="228"/>
      <c r="M6" s="594"/>
      <c r="N6" s="594"/>
      <c r="O6" s="592"/>
      <c r="P6" s="592"/>
      <c r="Q6" s="592">
        <v>0</v>
      </c>
      <c r="R6" s="594"/>
      <c r="S6" s="594"/>
      <c r="T6" s="592"/>
      <c r="U6" s="592"/>
      <c r="V6" s="592">
        <v>101260</v>
      </c>
      <c r="W6" s="594"/>
      <c r="X6" s="594"/>
      <c r="Y6" s="592"/>
      <c r="Z6" s="592"/>
      <c r="AA6" s="592">
        <v>101260</v>
      </c>
      <c r="AB6" s="595">
        <v>101259741</v>
      </c>
      <c r="AC6" s="595"/>
      <c r="AD6" s="596">
        <v>101259741</v>
      </c>
    </row>
    <row r="7" spans="1:29" ht="15" customHeight="1">
      <c r="A7" s="593" t="s">
        <v>882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228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5"/>
      <c r="AC7" s="595"/>
    </row>
    <row r="8" spans="1:29" ht="15" customHeight="1">
      <c r="A8" s="593" t="s">
        <v>1201</v>
      </c>
      <c r="B8" s="592"/>
      <c r="C8" s="597">
        <v>2307.3</v>
      </c>
      <c r="D8" s="592">
        <v>22300</v>
      </c>
      <c r="E8" s="592">
        <v>51448</v>
      </c>
      <c r="F8" s="592"/>
      <c r="G8" s="592"/>
      <c r="H8" s="597">
        <v>2307.3</v>
      </c>
      <c r="I8" s="293">
        <v>22300</v>
      </c>
      <c r="J8" s="592">
        <v>51448</v>
      </c>
      <c r="K8" s="592"/>
      <c r="L8" s="228"/>
      <c r="M8" s="592"/>
      <c r="N8" s="597">
        <v>2307.3</v>
      </c>
      <c r="O8" s="592">
        <v>22300</v>
      </c>
      <c r="P8" s="592">
        <v>51448</v>
      </c>
      <c r="Q8" s="592"/>
      <c r="R8" s="592"/>
      <c r="S8" s="597">
        <v>2310</v>
      </c>
      <c r="T8" s="592">
        <v>22300</v>
      </c>
      <c r="U8" s="592">
        <v>51513</v>
      </c>
      <c r="V8" s="592"/>
      <c r="W8" s="592"/>
      <c r="X8" s="597">
        <v>2310</v>
      </c>
      <c r="Y8" s="592">
        <v>22300</v>
      </c>
      <c r="Z8" s="592">
        <v>51513</v>
      </c>
      <c r="AA8" s="592"/>
      <c r="AB8" s="595"/>
      <c r="AC8" s="595">
        <v>51513000</v>
      </c>
    </row>
    <row r="9" spans="1:29" ht="15" customHeight="1">
      <c r="A9" s="593" t="s">
        <v>1202</v>
      </c>
      <c r="B9" s="592"/>
      <c r="C9" s="597">
        <v>394.9</v>
      </c>
      <c r="D9" s="592">
        <v>415000</v>
      </c>
      <c r="E9" s="592">
        <v>164589</v>
      </c>
      <c r="F9" s="592"/>
      <c r="G9" s="592"/>
      <c r="H9" s="597">
        <v>394.9</v>
      </c>
      <c r="I9" s="293">
        <v>415000</v>
      </c>
      <c r="J9" s="592">
        <v>164589</v>
      </c>
      <c r="K9" s="592"/>
      <c r="L9" s="228"/>
      <c r="M9" s="592"/>
      <c r="N9" s="597">
        <v>394.9</v>
      </c>
      <c r="O9" s="592">
        <v>415000</v>
      </c>
      <c r="P9" s="592">
        <v>164589</v>
      </c>
      <c r="Q9" s="592"/>
      <c r="R9" s="592"/>
      <c r="S9" s="597">
        <v>399.2</v>
      </c>
      <c r="T9" s="592">
        <v>415000</v>
      </c>
      <c r="U9" s="592">
        <v>165668</v>
      </c>
      <c r="V9" s="592"/>
      <c r="W9" s="592"/>
      <c r="X9" s="597">
        <v>399.2</v>
      </c>
      <c r="Y9" s="592">
        <v>415000</v>
      </c>
      <c r="Z9" s="592">
        <v>165668</v>
      </c>
      <c r="AA9" s="592"/>
      <c r="AB9" s="595"/>
      <c r="AC9" s="595">
        <v>165668000</v>
      </c>
    </row>
    <row r="10" spans="1:29" ht="15" customHeight="1">
      <c r="A10" s="593" t="s">
        <v>1208</v>
      </c>
      <c r="B10" s="592"/>
      <c r="C10" s="592">
        <v>323446</v>
      </c>
      <c r="D10" s="592">
        <v>70</v>
      </c>
      <c r="E10" s="592">
        <v>22641</v>
      </c>
      <c r="F10" s="592"/>
      <c r="G10" s="592"/>
      <c r="H10" s="592">
        <v>323446</v>
      </c>
      <c r="I10" s="592">
        <v>70</v>
      </c>
      <c r="J10" s="592">
        <v>22641</v>
      </c>
      <c r="K10" s="592"/>
      <c r="L10" s="228"/>
      <c r="M10" s="592"/>
      <c r="N10" s="592">
        <v>323446</v>
      </c>
      <c r="O10" s="592">
        <v>70</v>
      </c>
      <c r="P10" s="592">
        <v>22641</v>
      </c>
      <c r="Q10" s="592"/>
      <c r="R10" s="592"/>
      <c r="S10" s="592">
        <v>323446</v>
      </c>
      <c r="T10" s="592">
        <v>70</v>
      </c>
      <c r="U10" s="592">
        <v>22641</v>
      </c>
      <c r="V10" s="592"/>
      <c r="W10" s="592"/>
      <c r="X10" s="592">
        <v>323446</v>
      </c>
      <c r="Y10" s="592">
        <v>70</v>
      </c>
      <c r="Z10" s="592">
        <v>22641</v>
      </c>
      <c r="AA10" s="592"/>
      <c r="AB10" s="595"/>
      <c r="AC10" s="595">
        <v>22641220</v>
      </c>
    </row>
    <row r="11" spans="1:29" ht="15" customHeight="1">
      <c r="A11" s="593" t="s">
        <v>319</v>
      </c>
      <c r="B11" s="592"/>
      <c r="C11" s="594">
        <v>220.25</v>
      </c>
      <c r="D11" s="592">
        <v>470000</v>
      </c>
      <c r="E11" s="592">
        <v>102836</v>
      </c>
      <c r="F11" s="592"/>
      <c r="G11" s="592"/>
      <c r="H11" s="594">
        <v>220.25</v>
      </c>
      <c r="I11" s="293">
        <v>470000</v>
      </c>
      <c r="J11" s="592">
        <v>102836</v>
      </c>
      <c r="K11" s="592"/>
      <c r="L11" s="228"/>
      <c r="M11" s="592"/>
      <c r="N11" s="594">
        <v>220.25</v>
      </c>
      <c r="O11" s="592">
        <v>470000</v>
      </c>
      <c r="P11" s="592">
        <v>102836</v>
      </c>
      <c r="Q11" s="592"/>
      <c r="R11" s="592"/>
      <c r="S11" s="594">
        <v>219.09</v>
      </c>
      <c r="T11" s="592">
        <v>470000</v>
      </c>
      <c r="U11" s="592">
        <v>102972</v>
      </c>
      <c r="V11" s="592"/>
      <c r="W11" s="592"/>
      <c r="X11" s="594">
        <v>219.09</v>
      </c>
      <c r="Y11" s="592">
        <v>470000</v>
      </c>
      <c r="Z11" s="592">
        <v>102972</v>
      </c>
      <c r="AA11" s="592"/>
      <c r="AB11" s="595"/>
      <c r="AC11" s="595">
        <v>102972300</v>
      </c>
    </row>
    <row r="12" spans="1:29" ht="15" customHeight="1">
      <c r="A12" s="593" t="s">
        <v>883</v>
      </c>
      <c r="B12" s="592"/>
      <c r="C12" s="592"/>
      <c r="D12" s="592"/>
      <c r="E12" s="592"/>
      <c r="F12" s="592">
        <v>0</v>
      </c>
      <c r="G12" s="592"/>
      <c r="H12" s="592"/>
      <c r="I12" s="592"/>
      <c r="J12" s="592"/>
      <c r="K12" s="592">
        <v>0</v>
      </c>
      <c r="L12" s="228"/>
      <c r="M12" s="592"/>
      <c r="N12" s="592"/>
      <c r="O12" s="592"/>
      <c r="P12" s="592"/>
      <c r="Q12" s="592">
        <v>0</v>
      </c>
      <c r="R12" s="592"/>
      <c r="S12" s="592"/>
      <c r="T12" s="592"/>
      <c r="U12" s="592"/>
      <c r="V12" s="592">
        <v>0</v>
      </c>
      <c r="W12" s="592"/>
      <c r="X12" s="592"/>
      <c r="Y12" s="592"/>
      <c r="Z12" s="592"/>
      <c r="AA12" s="592">
        <v>0</v>
      </c>
      <c r="AB12" s="595"/>
      <c r="AC12" s="595"/>
    </row>
    <row r="13" spans="1:29" ht="15" customHeight="1">
      <c r="A13" s="593" t="s">
        <v>884</v>
      </c>
      <c r="B13" s="592">
        <v>58125</v>
      </c>
      <c r="C13" s="592"/>
      <c r="D13" s="592">
        <v>2700</v>
      </c>
      <c r="E13" s="592">
        <f>SUM(B13*D13)/1000</f>
        <v>156937.5</v>
      </c>
      <c r="F13" s="592"/>
      <c r="G13" s="293">
        <v>57914</v>
      </c>
      <c r="H13" s="592"/>
      <c r="I13" s="293">
        <v>2700</v>
      </c>
      <c r="J13" s="592">
        <f>SUM(G13*I13)/1000</f>
        <v>156367.8</v>
      </c>
      <c r="K13" s="592"/>
      <c r="L13" s="228"/>
      <c r="M13" s="592">
        <v>57914</v>
      </c>
      <c r="N13" s="592"/>
      <c r="O13" s="592">
        <v>2700</v>
      </c>
      <c r="P13" s="592">
        <f>SUM(M13*O13)/1000</f>
        <v>156367.8</v>
      </c>
      <c r="Q13" s="592"/>
      <c r="R13" s="592">
        <v>57914</v>
      </c>
      <c r="S13" s="592"/>
      <c r="T13" s="592">
        <v>2700</v>
      </c>
      <c r="U13" s="592">
        <f>SUM(R13*T13)/1000</f>
        <v>156367.8</v>
      </c>
      <c r="V13" s="592"/>
      <c r="W13" s="592">
        <v>57914</v>
      </c>
      <c r="X13" s="592"/>
      <c r="Y13" s="592">
        <v>2700</v>
      </c>
      <c r="Z13" s="592">
        <f>SUM(W13*Y13)/1000</f>
        <v>156367.8</v>
      </c>
      <c r="AA13" s="592"/>
      <c r="AB13" s="595"/>
      <c r="AC13" s="595">
        <v>156367800</v>
      </c>
    </row>
    <row r="14" spans="1:29" ht="15" customHeight="1">
      <c r="A14" s="593" t="s">
        <v>885</v>
      </c>
      <c r="B14" s="592"/>
      <c r="C14" s="592"/>
      <c r="D14" s="592"/>
      <c r="E14" s="592"/>
      <c r="F14" s="592">
        <v>0</v>
      </c>
      <c r="G14" s="592"/>
      <c r="H14" s="592"/>
      <c r="I14" s="592"/>
      <c r="J14" s="592"/>
      <c r="K14" s="592">
        <v>0</v>
      </c>
      <c r="L14" s="228"/>
      <c r="M14" s="592"/>
      <c r="N14" s="592"/>
      <c r="O14" s="592"/>
      <c r="P14" s="592"/>
      <c r="Q14" s="592">
        <v>0</v>
      </c>
      <c r="R14" s="592"/>
      <c r="S14" s="592"/>
      <c r="T14" s="592"/>
      <c r="U14" s="592"/>
      <c r="V14" s="592">
        <v>0</v>
      </c>
      <c r="W14" s="592"/>
      <c r="X14" s="592"/>
      <c r="Y14" s="592"/>
      <c r="Z14" s="592"/>
      <c r="AA14" s="592">
        <v>0</v>
      </c>
      <c r="AB14" s="595"/>
      <c r="AC14" s="595"/>
    </row>
    <row r="15" spans="1:29" ht="15" customHeight="1">
      <c r="A15" s="593" t="s">
        <v>1209</v>
      </c>
      <c r="B15" s="592">
        <v>3851</v>
      </c>
      <c r="C15" s="592"/>
      <c r="D15" s="592">
        <v>2550</v>
      </c>
      <c r="E15" s="592">
        <v>9820</v>
      </c>
      <c r="F15" s="592"/>
      <c r="G15" s="293">
        <v>3959</v>
      </c>
      <c r="H15" s="592"/>
      <c r="I15" s="293">
        <v>2550</v>
      </c>
      <c r="J15" s="592">
        <v>10095</v>
      </c>
      <c r="K15" s="592"/>
      <c r="L15" s="228"/>
      <c r="M15" s="592">
        <v>3959</v>
      </c>
      <c r="N15" s="592"/>
      <c r="O15" s="592">
        <v>2550</v>
      </c>
      <c r="P15" s="592">
        <v>10095</v>
      </c>
      <c r="Q15" s="592"/>
      <c r="R15" s="592">
        <v>3959</v>
      </c>
      <c r="S15" s="592"/>
      <c r="T15" s="592">
        <v>2550</v>
      </c>
      <c r="U15" s="592">
        <v>10095</v>
      </c>
      <c r="V15" s="592"/>
      <c r="W15" s="592">
        <v>3959</v>
      </c>
      <c r="X15" s="592"/>
      <c r="Y15" s="592">
        <v>2550</v>
      </c>
      <c r="Z15" s="592">
        <v>10095</v>
      </c>
      <c r="AA15" s="592"/>
      <c r="AB15" s="595"/>
      <c r="AC15" s="595">
        <v>10095450</v>
      </c>
    </row>
    <row r="16" spans="1:29" ht="15" customHeight="1">
      <c r="A16" s="593" t="s">
        <v>1272</v>
      </c>
      <c r="B16" s="592"/>
      <c r="C16" s="592"/>
      <c r="D16" s="592"/>
      <c r="E16" s="592"/>
      <c r="F16" s="592">
        <v>0</v>
      </c>
      <c r="G16" s="592"/>
      <c r="H16" s="592"/>
      <c r="I16" s="592"/>
      <c r="J16" s="592"/>
      <c r="K16" s="592">
        <v>0</v>
      </c>
      <c r="L16" s="228"/>
      <c r="M16" s="592"/>
      <c r="N16" s="592"/>
      <c r="O16" s="592"/>
      <c r="P16" s="592"/>
      <c r="Q16" s="592">
        <v>0</v>
      </c>
      <c r="R16" s="592"/>
      <c r="S16" s="592"/>
      <c r="T16" s="592"/>
      <c r="U16" s="592"/>
      <c r="V16" s="592">
        <v>0</v>
      </c>
      <c r="W16" s="592"/>
      <c r="X16" s="592"/>
      <c r="Y16" s="592"/>
      <c r="Z16" s="592"/>
      <c r="AA16" s="592">
        <v>0</v>
      </c>
      <c r="AB16" s="595"/>
      <c r="AC16" s="595"/>
    </row>
    <row r="17" spans="1:29" ht="15" customHeight="1">
      <c r="A17" s="593" t="s">
        <v>102</v>
      </c>
      <c r="B17" s="597"/>
      <c r="C17" s="598">
        <v>19471000</v>
      </c>
      <c r="D17" s="594">
        <v>1</v>
      </c>
      <c r="E17" s="592">
        <v>19471</v>
      </c>
      <c r="F17" s="592"/>
      <c r="G17" s="597"/>
      <c r="H17" s="294">
        <v>19912099</v>
      </c>
      <c r="I17" s="292">
        <v>1</v>
      </c>
      <c r="J17" s="592">
        <v>19912</v>
      </c>
      <c r="K17" s="592"/>
      <c r="L17" s="228"/>
      <c r="M17" s="597"/>
      <c r="N17" s="598">
        <v>19912099</v>
      </c>
      <c r="O17" s="594">
        <v>1</v>
      </c>
      <c r="P17" s="592">
        <v>19912</v>
      </c>
      <c r="Q17" s="592"/>
      <c r="R17" s="597"/>
      <c r="S17" s="598">
        <v>19912099</v>
      </c>
      <c r="T17" s="594">
        <v>1</v>
      </c>
      <c r="U17" s="592">
        <v>19912</v>
      </c>
      <c r="V17" s="592"/>
      <c r="W17" s="597"/>
      <c r="X17" s="598">
        <v>19912099</v>
      </c>
      <c r="Y17" s="594">
        <v>1</v>
      </c>
      <c r="Z17" s="592">
        <v>19912</v>
      </c>
      <c r="AA17" s="592"/>
      <c r="AB17" s="595"/>
      <c r="AC17" s="595">
        <v>19912099</v>
      </c>
    </row>
    <row r="18" spans="1:29" ht="15" customHeight="1">
      <c r="A18" s="593" t="s">
        <v>103</v>
      </c>
      <c r="B18" s="592"/>
      <c r="C18" s="592"/>
      <c r="D18" s="594"/>
      <c r="E18" s="592"/>
      <c r="F18" s="592">
        <v>0</v>
      </c>
      <c r="G18" s="592"/>
      <c r="H18" s="592"/>
      <c r="I18" s="594"/>
      <c r="J18" s="592"/>
      <c r="K18" s="592">
        <v>0</v>
      </c>
      <c r="L18" s="228"/>
      <c r="M18" s="592"/>
      <c r="N18" s="592"/>
      <c r="O18" s="594"/>
      <c r="P18" s="592"/>
      <c r="Q18" s="592">
        <v>0</v>
      </c>
      <c r="R18" s="592"/>
      <c r="S18" s="592"/>
      <c r="T18" s="594"/>
      <c r="U18" s="592"/>
      <c r="V18" s="592">
        <v>0</v>
      </c>
      <c r="W18" s="592"/>
      <c r="X18" s="592"/>
      <c r="Y18" s="594"/>
      <c r="Z18" s="592"/>
      <c r="AA18" s="592">
        <v>0</v>
      </c>
      <c r="AB18" s="595"/>
      <c r="AC18" s="595"/>
    </row>
    <row r="19" spans="1:29" ht="15" customHeight="1">
      <c r="A19" s="593" t="s">
        <v>104</v>
      </c>
      <c r="B19" s="592"/>
      <c r="C19" s="592"/>
      <c r="D19" s="592"/>
      <c r="E19" s="592">
        <v>-1165392</v>
      </c>
      <c r="F19" s="592"/>
      <c r="G19" s="592"/>
      <c r="H19" s="592"/>
      <c r="I19" s="592"/>
      <c r="J19" s="592">
        <v>-1131984</v>
      </c>
      <c r="K19" s="592"/>
      <c r="L19" s="228"/>
      <c r="M19" s="592"/>
      <c r="N19" s="592"/>
      <c r="O19" s="592"/>
      <c r="P19" s="592">
        <v>-1131984</v>
      </c>
      <c r="Q19" s="592"/>
      <c r="R19" s="592"/>
      <c r="S19" s="592"/>
      <c r="T19" s="592"/>
      <c r="U19" s="592">
        <v>-103453</v>
      </c>
      <c r="V19" s="592"/>
      <c r="W19" s="592"/>
      <c r="X19" s="592"/>
      <c r="Y19" s="592"/>
      <c r="Z19" s="592">
        <v>-103453</v>
      </c>
      <c r="AA19" s="592"/>
      <c r="AB19" s="595"/>
      <c r="AC19" s="595">
        <v>-1034531128</v>
      </c>
    </row>
    <row r="20" spans="1:28" ht="15" customHeight="1">
      <c r="A20" s="593" t="s">
        <v>105</v>
      </c>
      <c r="B20" s="592"/>
      <c r="C20" s="592">
        <v>800</v>
      </c>
      <c r="D20" s="592">
        <v>100</v>
      </c>
      <c r="E20" s="592"/>
      <c r="F20" s="592">
        <f>SUM(C20*D20)/1000</f>
        <v>80</v>
      </c>
      <c r="G20" s="592"/>
      <c r="H20" s="592">
        <v>800</v>
      </c>
      <c r="I20" s="293">
        <v>100</v>
      </c>
      <c r="J20" s="592"/>
      <c r="K20" s="592">
        <f>SUM(H20*I20)/1000</f>
        <v>80</v>
      </c>
      <c r="L20" s="228">
        <v>80000</v>
      </c>
      <c r="M20" s="592"/>
      <c r="N20" s="592">
        <v>800</v>
      </c>
      <c r="O20" s="592">
        <v>100</v>
      </c>
      <c r="P20" s="592"/>
      <c r="Q20" s="592">
        <f>SUM(N20*O20)/1000</f>
        <v>80</v>
      </c>
      <c r="R20" s="592"/>
      <c r="S20" s="592">
        <v>800</v>
      </c>
      <c r="T20" s="592">
        <v>100</v>
      </c>
      <c r="U20" s="592"/>
      <c r="V20" s="592">
        <f>SUM(S20*T20)/1000</f>
        <v>80</v>
      </c>
      <c r="W20" s="592"/>
      <c r="X20" s="592">
        <v>800</v>
      </c>
      <c r="Y20" s="592">
        <v>100</v>
      </c>
      <c r="Z20" s="592"/>
      <c r="AA20" s="592">
        <f>SUM(X20*Y20)/1000</f>
        <v>80</v>
      </c>
      <c r="AB20" s="595">
        <v>80000</v>
      </c>
    </row>
    <row r="21" spans="1:28" ht="24.75" customHeight="1">
      <c r="A21" s="599" t="s">
        <v>757</v>
      </c>
      <c r="B21" s="592"/>
      <c r="C21" s="592"/>
      <c r="D21" s="592"/>
      <c r="E21" s="592"/>
      <c r="F21" s="592"/>
      <c r="G21" s="592"/>
      <c r="H21" s="592"/>
      <c r="I21" s="293"/>
      <c r="J21" s="592"/>
      <c r="K21" s="592"/>
      <c r="L21" s="228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>
        <v>3402</v>
      </c>
      <c r="AB21" s="595">
        <v>3402169</v>
      </c>
    </row>
    <row r="22" spans="1:28" ht="15" customHeight="1">
      <c r="A22" s="591" t="s">
        <v>237</v>
      </c>
      <c r="B22" s="592"/>
      <c r="C22" s="592"/>
      <c r="D22" s="592"/>
      <c r="E22" s="592"/>
      <c r="F22" s="592"/>
      <c r="G22" s="592"/>
      <c r="H22" s="592"/>
      <c r="I22" s="592"/>
      <c r="J22" s="592"/>
      <c r="K22" s="592"/>
      <c r="L22" s="228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5"/>
    </row>
    <row r="23" spans="1:28" ht="24.75" customHeight="1">
      <c r="A23" s="599" t="s">
        <v>1242</v>
      </c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228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5"/>
    </row>
    <row r="24" spans="1:28" ht="15" customHeight="1">
      <c r="A24" s="599" t="s">
        <v>886</v>
      </c>
      <c r="B24" s="592"/>
      <c r="C24" s="597">
        <v>138.2</v>
      </c>
      <c r="D24" s="592">
        <v>2946000</v>
      </c>
      <c r="E24" s="594"/>
      <c r="F24" s="592">
        <v>407137</v>
      </c>
      <c r="G24" s="592"/>
      <c r="H24" s="597">
        <v>138.2</v>
      </c>
      <c r="I24" s="293">
        <v>2914333</v>
      </c>
      <c r="J24" s="594"/>
      <c r="K24" s="592">
        <v>402761</v>
      </c>
      <c r="L24" s="592">
        <v>407137200</v>
      </c>
      <c r="M24" s="592"/>
      <c r="N24" s="597">
        <v>140.4</v>
      </c>
      <c r="O24" s="592">
        <v>2914333</v>
      </c>
      <c r="P24" s="594"/>
      <c r="Q24" s="592">
        <v>409172</v>
      </c>
      <c r="R24" s="592"/>
      <c r="S24" s="597">
        <v>140.4</v>
      </c>
      <c r="T24" s="592">
        <v>2914333</v>
      </c>
      <c r="U24" s="594"/>
      <c r="V24" s="592">
        <v>409172</v>
      </c>
      <c r="W24" s="592"/>
      <c r="X24" s="597">
        <v>140.4</v>
      </c>
      <c r="Y24" s="592">
        <v>2914333</v>
      </c>
      <c r="Z24" s="594"/>
      <c r="AA24" s="592">
        <v>409172</v>
      </c>
      <c r="AB24" s="595">
        <v>409172400</v>
      </c>
    </row>
    <row r="25" spans="1:28" ht="15" customHeight="1">
      <c r="A25" s="599" t="s">
        <v>900</v>
      </c>
      <c r="B25" s="592"/>
      <c r="C25" s="597">
        <v>133</v>
      </c>
      <c r="D25" s="592">
        <v>1473000</v>
      </c>
      <c r="E25" s="594"/>
      <c r="F25" s="592">
        <v>195909</v>
      </c>
      <c r="G25" s="592"/>
      <c r="H25" s="597">
        <v>133</v>
      </c>
      <c r="I25" s="293">
        <v>1457167</v>
      </c>
      <c r="J25" s="594"/>
      <c r="K25" s="592">
        <v>193803</v>
      </c>
      <c r="L25" s="228">
        <v>195909000</v>
      </c>
      <c r="M25" s="592"/>
      <c r="N25" s="296">
        <v>140.4</v>
      </c>
      <c r="O25" s="592">
        <v>1457167</v>
      </c>
      <c r="P25" s="594"/>
      <c r="Q25" s="592">
        <v>204586</v>
      </c>
      <c r="R25" s="592"/>
      <c r="S25" s="597">
        <v>139.6</v>
      </c>
      <c r="T25" s="592">
        <v>1457167</v>
      </c>
      <c r="U25" s="594"/>
      <c r="V25" s="592">
        <v>203420</v>
      </c>
      <c r="W25" s="592"/>
      <c r="X25" s="597">
        <v>139.6</v>
      </c>
      <c r="Y25" s="592">
        <v>1457167</v>
      </c>
      <c r="Z25" s="594"/>
      <c r="AA25" s="592">
        <v>203420</v>
      </c>
      <c r="AB25" s="595">
        <v>203420467</v>
      </c>
    </row>
    <row r="26" spans="1:28" ht="24.75" customHeight="1">
      <c r="A26" s="599" t="s">
        <v>901</v>
      </c>
      <c r="B26" s="592"/>
      <c r="C26" s="592">
        <v>91</v>
      </c>
      <c r="D26" s="592">
        <v>1470000</v>
      </c>
      <c r="E26" s="600"/>
      <c r="F26" s="592">
        <v>133770</v>
      </c>
      <c r="G26" s="592"/>
      <c r="H26" s="592">
        <v>91</v>
      </c>
      <c r="I26" s="293">
        <v>1470000</v>
      </c>
      <c r="J26" s="600"/>
      <c r="K26" s="592">
        <v>133770</v>
      </c>
      <c r="L26" s="228">
        <v>133770000</v>
      </c>
      <c r="M26" s="592"/>
      <c r="N26" s="592">
        <v>91</v>
      </c>
      <c r="O26" s="592">
        <v>1470000</v>
      </c>
      <c r="P26" s="600"/>
      <c r="Q26" s="592">
        <v>133770</v>
      </c>
      <c r="R26" s="592"/>
      <c r="S26" s="592">
        <v>91</v>
      </c>
      <c r="T26" s="592">
        <v>1470000</v>
      </c>
      <c r="U26" s="600"/>
      <c r="V26" s="592">
        <v>133770</v>
      </c>
      <c r="W26" s="592"/>
      <c r="X26" s="592">
        <v>91</v>
      </c>
      <c r="Y26" s="592">
        <v>1470000</v>
      </c>
      <c r="Z26" s="600"/>
      <c r="AA26" s="592">
        <v>133770</v>
      </c>
      <c r="AB26" s="595">
        <v>133770000</v>
      </c>
    </row>
    <row r="27" spans="1:28" ht="24.75" customHeight="1">
      <c r="A27" s="599" t="s">
        <v>902</v>
      </c>
      <c r="B27" s="592"/>
      <c r="C27" s="592">
        <v>91</v>
      </c>
      <c r="D27" s="592">
        <v>735000</v>
      </c>
      <c r="E27" s="600"/>
      <c r="F27" s="592">
        <v>66885</v>
      </c>
      <c r="G27" s="592"/>
      <c r="H27" s="592">
        <v>91</v>
      </c>
      <c r="I27" s="293">
        <v>735000</v>
      </c>
      <c r="J27" s="600"/>
      <c r="K27" s="592">
        <v>66885</v>
      </c>
      <c r="L27" s="228">
        <v>66885000</v>
      </c>
      <c r="M27" s="592"/>
      <c r="N27" s="592">
        <v>91</v>
      </c>
      <c r="O27" s="592">
        <v>735000</v>
      </c>
      <c r="P27" s="600"/>
      <c r="Q27" s="592">
        <v>66885</v>
      </c>
      <c r="R27" s="592"/>
      <c r="S27" s="592">
        <v>91</v>
      </c>
      <c r="T27" s="592">
        <v>735000</v>
      </c>
      <c r="U27" s="600"/>
      <c r="V27" s="592">
        <v>66885</v>
      </c>
      <c r="W27" s="592"/>
      <c r="X27" s="592">
        <v>91</v>
      </c>
      <c r="Y27" s="592">
        <v>735000</v>
      </c>
      <c r="Z27" s="600"/>
      <c r="AA27" s="592">
        <v>66885</v>
      </c>
      <c r="AB27" s="595">
        <v>66885000</v>
      </c>
    </row>
    <row r="28" spans="1:29" ht="19.5" customHeight="1">
      <c r="A28" s="593" t="s">
        <v>106</v>
      </c>
      <c r="B28" s="592">
        <v>1540</v>
      </c>
      <c r="C28" s="592"/>
      <c r="D28" s="592">
        <v>54467</v>
      </c>
      <c r="E28" s="600"/>
      <c r="F28" s="592">
        <v>83879</v>
      </c>
      <c r="G28" s="592">
        <v>1540</v>
      </c>
      <c r="H28" s="592"/>
      <c r="I28" s="293">
        <v>64933</v>
      </c>
      <c r="J28" s="600"/>
      <c r="K28" s="592">
        <v>99997</v>
      </c>
      <c r="L28" s="228">
        <v>83878667</v>
      </c>
      <c r="M28" s="592">
        <v>1580</v>
      </c>
      <c r="N28" s="592"/>
      <c r="O28" s="592">
        <v>64933</v>
      </c>
      <c r="P28" s="600"/>
      <c r="Q28" s="592">
        <v>102594</v>
      </c>
      <c r="R28" s="592">
        <v>1580</v>
      </c>
      <c r="S28" s="592"/>
      <c r="T28" s="592">
        <v>64933</v>
      </c>
      <c r="U28" s="600"/>
      <c r="V28" s="592">
        <v>102595</v>
      </c>
      <c r="W28" s="592">
        <v>1580</v>
      </c>
      <c r="X28" s="592"/>
      <c r="Y28" s="592">
        <v>64933</v>
      </c>
      <c r="Z28" s="600"/>
      <c r="AA28" s="592">
        <v>102595</v>
      </c>
      <c r="AB28" s="595">
        <v>102594667</v>
      </c>
      <c r="AC28" s="149" t="s">
        <v>966</v>
      </c>
    </row>
    <row r="29" spans="1:28" ht="13.5" customHeight="1">
      <c r="A29" s="593" t="s">
        <v>615</v>
      </c>
      <c r="B29" s="592">
        <v>1497</v>
      </c>
      <c r="C29" s="592"/>
      <c r="D29" s="592">
        <v>27233</v>
      </c>
      <c r="E29" s="600"/>
      <c r="F29" s="592">
        <v>40768</v>
      </c>
      <c r="G29" s="592">
        <v>1497</v>
      </c>
      <c r="H29" s="592"/>
      <c r="I29" s="293">
        <v>32467</v>
      </c>
      <c r="J29" s="600"/>
      <c r="K29" s="592">
        <v>48603</v>
      </c>
      <c r="L29" s="228">
        <v>40768300</v>
      </c>
      <c r="M29" s="297">
        <v>1580</v>
      </c>
      <c r="N29" s="592"/>
      <c r="O29" s="592">
        <v>32467</v>
      </c>
      <c r="P29" s="600"/>
      <c r="Q29" s="592">
        <v>51298</v>
      </c>
      <c r="R29" s="592">
        <v>1575</v>
      </c>
      <c r="S29" s="592"/>
      <c r="T29" s="592">
        <v>32467</v>
      </c>
      <c r="U29" s="600"/>
      <c r="V29" s="592">
        <v>51135</v>
      </c>
      <c r="W29" s="592">
        <v>1575</v>
      </c>
      <c r="X29" s="592"/>
      <c r="Y29" s="592">
        <v>32467</v>
      </c>
      <c r="Z29" s="600"/>
      <c r="AA29" s="592">
        <v>51135</v>
      </c>
      <c r="AB29" s="595">
        <v>51135000</v>
      </c>
    </row>
    <row r="30" spans="1:28" ht="15" customHeight="1">
      <c r="A30" s="593" t="s">
        <v>317</v>
      </c>
      <c r="B30" s="592"/>
      <c r="C30" s="592"/>
      <c r="D30" s="592"/>
      <c r="E30" s="600"/>
      <c r="F30" s="592"/>
      <c r="G30" s="592"/>
      <c r="H30" s="592"/>
      <c r="I30" s="293"/>
      <c r="J30" s="600"/>
      <c r="K30" s="592"/>
      <c r="L30" s="228"/>
      <c r="M30" s="592"/>
      <c r="N30" s="592"/>
      <c r="O30" s="592"/>
      <c r="P30" s="600"/>
      <c r="Q30" s="592"/>
      <c r="R30" s="592"/>
      <c r="S30" s="592"/>
      <c r="T30" s="592"/>
      <c r="U30" s="600"/>
      <c r="V30" s="592"/>
      <c r="W30" s="592"/>
      <c r="X30" s="592"/>
      <c r="Y30" s="592"/>
      <c r="Z30" s="600"/>
      <c r="AA30" s="592"/>
      <c r="AB30" s="595"/>
    </row>
    <row r="31" spans="1:28" ht="15" customHeight="1">
      <c r="A31" s="593" t="s">
        <v>318</v>
      </c>
      <c r="B31" s="597">
        <v>35</v>
      </c>
      <c r="C31" s="592"/>
      <c r="D31" s="592">
        <v>401000</v>
      </c>
      <c r="E31" s="600"/>
      <c r="F31" s="592">
        <v>14035</v>
      </c>
      <c r="G31" s="597">
        <v>35</v>
      </c>
      <c r="H31" s="592"/>
      <c r="I31" s="293">
        <v>396700</v>
      </c>
      <c r="J31" s="600"/>
      <c r="K31" s="592">
        <v>13885</v>
      </c>
      <c r="L31" s="228">
        <v>14035000</v>
      </c>
      <c r="M31" s="597">
        <v>35</v>
      </c>
      <c r="N31" s="592"/>
      <c r="O31" s="592">
        <v>396700</v>
      </c>
      <c r="P31" s="600"/>
      <c r="Q31" s="592">
        <v>13885</v>
      </c>
      <c r="R31" s="597">
        <v>38</v>
      </c>
      <c r="S31" s="592"/>
      <c r="T31" s="592">
        <v>396700</v>
      </c>
      <c r="U31" s="600"/>
      <c r="V31" s="592">
        <v>15075</v>
      </c>
      <c r="W31" s="597">
        <v>38</v>
      </c>
      <c r="X31" s="592"/>
      <c r="Y31" s="592">
        <v>396700</v>
      </c>
      <c r="Z31" s="600"/>
      <c r="AA31" s="592">
        <v>15075</v>
      </c>
      <c r="AB31" s="595">
        <v>15074600</v>
      </c>
    </row>
    <row r="32" spans="1:29" ht="24.75" customHeight="1">
      <c r="A32" s="599" t="s">
        <v>621</v>
      </c>
      <c r="B32" s="597">
        <v>7</v>
      </c>
      <c r="C32" s="592"/>
      <c r="D32" s="592">
        <v>367584</v>
      </c>
      <c r="E32" s="600"/>
      <c r="F32" s="592">
        <v>2573</v>
      </c>
      <c r="G32" s="597">
        <v>7</v>
      </c>
      <c r="H32" s="592"/>
      <c r="I32" s="293">
        <v>363642</v>
      </c>
      <c r="J32" s="600"/>
      <c r="K32" s="592">
        <v>2545</v>
      </c>
      <c r="L32" s="228">
        <v>2573088</v>
      </c>
      <c r="M32" s="597">
        <v>7</v>
      </c>
      <c r="N32" s="592"/>
      <c r="O32" s="592">
        <v>363642</v>
      </c>
      <c r="P32" s="600"/>
      <c r="Q32" s="592">
        <v>2545</v>
      </c>
      <c r="R32" s="597"/>
      <c r="S32" s="592"/>
      <c r="T32" s="592">
        <v>363642</v>
      </c>
      <c r="U32" s="600"/>
      <c r="V32" s="592"/>
      <c r="W32" s="597"/>
      <c r="X32" s="592"/>
      <c r="Y32" s="592">
        <v>363642</v>
      </c>
      <c r="Z32" s="600"/>
      <c r="AA32" s="592"/>
      <c r="AB32" s="595"/>
      <c r="AC32" s="298" t="s">
        <v>967</v>
      </c>
    </row>
    <row r="33" spans="1:28" ht="15" customHeight="1">
      <c r="A33" s="593" t="s">
        <v>1061</v>
      </c>
      <c r="B33" s="592">
        <v>3</v>
      </c>
      <c r="C33" s="592"/>
      <c r="D33" s="592">
        <v>1463000</v>
      </c>
      <c r="E33" s="600"/>
      <c r="F33" s="592">
        <v>4389</v>
      </c>
      <c r="G33" s="592">
        <v>3</v>
      </c>
      <c r="H33" s="592"/>
      <c r="I33" s="293">
        <v>1447300</v>
      </c>
      <c r="J33" s="600"/>
      <c r="K33" s="592">
        <v>4342</v>
      </c>
      <c r="L33" s="228">
        <v>4389000</v>
      </c>
      <c r="M33" s="592">
        <v>3</v>
      </c>
      <c r="N33" s="592"/>
      <c r="O33" s="592">
        <v>1447300</v>
      </c>
      <c r="P33" s="600"/>
      <c r="Q33" s="592">
        <v>4342</v>
      </c>
      <c r="R33" s="592">
        <v>3</v>
      </c>
      <c r="S33" s="592"/>
      <c r="T33" s="592">
        <v>1447300</v>
      </c>
      <c r="U33" s="600"/>
      <c r="V33" s="592">
        <v>4342</v>
      </c>
      <c r="W33" s="592">
        <v>3</v>
      </c>
      <c r="X33" s="592"/>
      <c r="Y33" s="592">
        <v>1447300</v>
      </c>
      <c r="Z33" s="600"/>
      <c r="AA33" s="592">
        <v>4342</v>
      </c>
      <c r="AB33" s="595">
        <v>4341900</v>
      </c>
    </row>
    <row r="34" spans="1:28" ht="15" customHeight="1">
      <c r="A34" s="591" t="s">
        <v>366</v>
      </c>
      <c r="B34" s="592"/>
      <c r="C34" s="592"/>
      <c r="D34" s="600"/>
      <c r="E34" s="600"/>
      <c r="F34" s="592"/>
      <c r="G34" s="592"/>
      <c r="H34" s="592"/>
      <c r="I34" s="600"/>
      <c r="J34" s="600"/>
      <c r="K34" s="592"/>
      <c r="L34" s="228"/>
      <c r="M34" s="592"/>
      <c r="N34" s="592"/>
      <c r="O34" s="600"/>
      <c r="P34" s="600"/>
      <c r="Q34" s="592"/>
      <c r="R34" s="592"/>
      <c r="S34" s="592"/>
      <c r="T34" s="600"/>
      <c r="U34" s="600"/>
      <c r="V34" s="592"/>
      <c r="W34" s="592"/>
      <c r="X34" s="592"/>
      <c r="Y34" s="600"/>
      <c r="Z34" s="600"/>
      <c r="AA34" s="592"/>
      <c r="AB34" s="595"/>
    </row>
    <row r="35" spans="1:28" ht="15" customHeight="1">
      <c r="A35" s="593" t="s">
        <v>616</v>
      </c>
      <c r="B35" s="592"/>
      <c r="C35" s="592"/>
      <c r="D35" s="592"/>
      <c r="E35" s="592"/>
      <c r="F35" s="592"/>
      <c r="G35" s="592"/>
      <c r="H35" s="592"/>
      <c r="I35" s="592"/>
      <c r="J35" s="592"/>
      <c r="K35" s="592"/>
      <c r="L35" s="228"/>
      <c r="M35" s="592"/>
      <c r="N35" s="592"/>
      <c r="O35" s="592"/>
      <c r="P35" s="592"/>
      <c r="Q35" s="592"/>
      <c r="R35" s="592"/>
      <c r="S35" s="592"/>
      <c r="T35" s="592"/>
      <c r="U35" s="592"/>
      <c r="V35" s="592"/>
      <c r="W35" s="592"/>
      <c r="X35" s="592"/>
      <c r="Y35" s="592"/>
      <c r="Z35" s="592"/>
      <c r="AA35" s="592"/>
      <c r="AB35" s="595"/>
    </row>
    <row r="36" spans="1:28" ht="15" customHeight="1">
      <c r="A36" s="593" t="s">
        <v>617</v>
      </c>
      <c r="B36" s="592">
        <v>58125</v>
      </c>
      <c r="C36" s="597">
        <v>7.3</v>
      </c>
      <c r="D36" s="592">
        <v>3400000</v>
      </c>
      <c r="E36" s="592"/>
      <c r="F36" s="592">
        <f>SUM(C36*D36)/1000</f>
        <v>24820</v>
      </c>
      <c r="G36" s="293">
        <v>57914</v>
      </c>
      <c r="H36" s="597">
        <v>7.2</v>
      </c>
      <c r="I36" s="293">
        <v>3000000</v>
      </c>
      <c r="J36" s="592"/>
      <c r="K36" s="592">
        <f>SUM(H36*I36)/1000</f>
        <v>21600</v>
      </c>
      <c r="L36" s="228">
        <v>24820000</v>
      </c>
      <c r="M36" s="592">
        <v>57914</v>
      </c>
      <c r="N36" s="597">
        <v>7.2</v>
      </c>
      <c r="O36" s="592">
        <v>3000000</v>
      </c>
      <c r="P36" s="592"/>
      <c r="Q36" s="592">
        <f>SUM(N36*O36)/1000</f>
        <v>21600</v>
      </c>
      <c r="R36" s="592">
        <v>57914</v>
      </c>
      <c r="S36" s="597">
        <v>7.3</v>
      </c>
      <c r="T36" s="592">
        <v>3000000</v>
      </c>
      <c r="U36" s="592"/>
      <c r="V36" s="592">
        <f>SUM(S36*T36)/1000</f>
        <v>21900</v>
      </c>
      <c r="W36" s="592">
        <v>57914</v>
      </c>
      <c r="X36" s="597">
        <v>7.3</v>
      </c>
      <c r="Y36" s="592">
        <v>3000000</v>
      </c>
      <c r="Z36" s="592"/>
      <c r="AA36" s="592">
        <f>SUM(X36*Y36)/1000</f>
        <v>21900</v>
      </c>
      <c r="AB36" s="595">
        <v>21900000</v>
      </c>
    </row>
    <row r="37" spans="1:28" ht="15" customHeight="1">
      <c r="A37" s="593" t="s">
        <v>618</v>
      </c>
      <c r="B37" s="592">
        <v>4042</v>
      </c>
      <c r="C37" s="597">
        <v>1</v>
      </c>
      <c r="D37" s="592">
        <v>3400000</v>
      </c>
      <c r="E37" s="592"/>
      <c r="F37" s="592">
        <f>SUM(C37*D37)/1000</f>
        <v>3400</v>
      </c>
      <c r="G37" s="299">
        <v>4042</v>
      </c>
      <c r="H37" s="597">
        <v>1</v>
      </c>
      <c r="I37" s="293">
        <v>3000000</v>
      </c>
      <c r="J37" s="592"/>
      <c r="K37" s="592">
        <f>SUM(H37*I37)/1000</f>
        <v>3000</v>
      </c>
      <c r="L37" s="228">
        <v>3400000</v>
      </c>
      <c r="M37" s="592">
        <v>4042</v>
      </c>
      <c r="N37" s="597">
        <v>1</v>
      </c>
      <c r="O37" s="592">
        <v>3000000</v>
      </c>
      <c r="P37" s="592"/>
      <c r="Q37" s="592">
        <f>SUM(N37*O37)/1000</f>
        <v>3000</v>
      </c>
      <c r="R37" s="592">
        <v>4042</v>
      </c>
      <c r="S37" s="597">
        <v>1</v>
      </c>
      <c r="T37" s="592">
        <v>3000000</v>
      </c>
      <c r="U37" s="592"/>
      <c r="V37" s="592">
        <f>SUM(S37*T37)/1000</f>
        <v>3000</v>
      </c>
      <c r="W37" s="592">
        <v>4042</v>
      </c>
      <c r="X37" s="597">
        <v>1</v>
      </c>
      <c r="Y37" s="592">
        <v>3000000</v>
      </c>
      <c r="Z37" s="592"/>
      <c r="AA37" s="592">
        <f>SUM(X37*Y37)/1000</f>
        <v>3000</v>
      </c>
      <c r="AB37" s="595">
        <v>3000000</v>
      </c>
    </row>
    <row r="38" spans="1:28" ht="15" customHeight="1">
      <c r="A38" s="593" t="s">
        <v>619</v>
      </c>
      <c r="B38" s="592"/>
      <c r="C38" s="597">
        <v>1</v>
      </c>
      <c r="D38" s="592">
        <v>3400000</v>
      </c>
      <c r="E38" s="592"/>
      <c r="F38" s="592">
        <f>SUM(C38*D38)/1000</f>
        <v>3400</v>
      </c>
      <c r="G38" s="592"/>
      <c r="H38" s="597">
        <v>1</v>
      </c>
      <c r="I38" s="293">
        <v>3000000</v>
      </c>
      <c r="J38" s="592"/>
      <c r="K38" s="592">
        <f>SUM(H38*I38)/1000</f>
        <v>3000</v>
      </c>
      <c r="L38" s="228">
        <v>3400000</v>
      </c>
      <c r="M38" s="592"/>
      <c r="N38" s="597">
        <v>1</v>
      </c>
      <c r="O38" s="592">
        <v>3000000</v>
      </c>
      <c r="P38" s="592"/>
      <c r="Q38" s="592">
        <f>SUM(N38*O38)/1000</f>
        <v>3000</v>
      </c>
      <c r="R38" s="592"/>
      <c r="S38" s="597">
        <v>1</v>
      </c>
      <c r="T38" s="592">
        <v>3000000</v>
      </c>
      <c r="U38" s="592"/>
      <c r="V38" s="592">
        <f>SUM(S38*T38)/1000</f>
        <v>3000</v>
      </c>
      <c r="W38" s="592"/>
      <c r="X38" s="597">
        <v>1</v>
      </c>
      <c r="Y38" s="592">
        <v>3000000</v>
      </c>
      <c r="Z38" s="592"/>
      <c r="AA38" s="592">
        <f>SUM(X38*Y38)/1000</f>
        <v>3000</v>
      </c>
      <c r="AB38" s="595">
        <v>3000000</v>
      </c>
    </row>
    <row r="39" spans="1:28" ht="15" customHeight="1">
      <c r="A39" s="593" t="s">
        <v>1249</v>
      </c>
      <c r="B39" s="592"/>
      <c r="C39" s="592"/>
      <c r="D39" s="592"/>
      <c r="E39" s="592"/>
      <c r="F39" s="592"/>
      <c r="G39" s="592"/>
      <c r="H39" s="592"/>
      <c r="I39" s="293"/>
      <c r="J39" s="592"/>
      <c r="K39" s="592"/>
      <c r="L39" s="228"/>
      <c r="M39" s="592"/>
      <c r="N39" s="592"/>
      <c r="O39" s="592"/>
      <c r="P39" s="592"/>
      <c r="Q39" s="592"/>
      <c r="R39" s="592"/>
      <c r="S39" s="592"/>
      <c r="T39" s="592"/>
      <c r="U39" s="592"/>
      <c r="V39" s="592"/>
      <c r="W39" s="592"/>
      <c r="X39" s="592"/>
      <c r="Y39" s="592"/>
      <c r="Z39" s="592"/>
      <c r="AA39" s="592"/>
      <c r="AB39" s="595"/>
    </row>
    <row r="40" spans="1:28" ht="15" customHeight="1">
      <c r="A40" s="593" t="s">
        <v>631</v>
      </c>
      <c r="B40" s="592">
        <v>100900</v>
      </c>
      <c r="C40" s="597">
        <v>22.8</v>
      </c>
      <c r="D40" s="592">
        <v>3300000</v>
      </c>
      <c r="E40" s="592"/>
      <c r="F40" s="592">
        <f>SUM(C40*D40)/1000</f>
        <v>75240</v>
      </c>
      <c r="G40" s="299">
        <v>100900</v>
      </c>
      <c r="H40" s="597">
        <v>22.8</v>
      </c>
      <c r="I40" s="293">
        <v>3000000</v>
      </c>
      <c r="J40" s="592"/>
      <c r="K40" s="592">
        <f>SUM(H40*I40)/1000</f>
        <v>68400</v>
      </c>
      <c r="L40" s="228">
        <v>75240000</v>
      </c>
      <c r="M40" s="592">
        <v>100900</v>
      </c>
      <c r="N40" s="597">
        <v>22.8</v>
      </c>
      <c r="O40" s="592">
        <v>3000000</v>
      </c>
      <c r="P40" s="592"/>
      <c r="Q40" s="592">
        <f>SUM(N40*O40)/1000</f>
        <v>68400</v>
      </c>
      <c r="R40" s="592">
        <v>100900</v>
      </c>
      <c r="S40" s="597">
        <v>23.8</v>
      </c>
      <c r="T40" s="592">
        <v>3000000</v>
      </c>
      <c r="U40" s="592"/>
      <c r="V40" s="592">
        <f>SUM(S40*T40)/1000</f>
        <v>71400</v>
      </c>
      <c r="W40" s="592">
        <v>100900</v>
      </c>
      <c r="X40" s="597">
        <v>23.8</v>
      </c>
      <c r="Y40" s="592">
        <v>3000000</v>
      </c>
      <c r="Z40" s="592"/>
      <c r="AA40" s="592">
        <f>SUM(X40*Y40)/1000</f>
        <v>71400</v>
      </c>
      <c r="AB40" s="595">
        <v>71400000</v>
      </c>
    </row>
    <row r="41" spans="1:28" ht="12.75" customHeight="1">
      <c r="A41" s="593" t="s">
        <v>1250</v>
      </c>
      <c r="B41" s="592"/>
      <c r="C41" s="592">
        <v>355</v>
      </c>
      <c r="D41" s="592">
        <v>60896</v>
      </c>
      <c r="E41" s="592"/>
      <c r="F41" s="592">
        <v>21618</v>
      </c>
      <c r="G41" s="592"/>
      <c r="H41" s="592">
        <v>355</v>
      </c>
      <c r="I41" s="293">
        <v>60896</v>
      </c>
      <c r="J41" s="592"/>
      <c r="K41" s="592">
        <v>21618</v>
      </c>
      <c r="L41" s="228">
        <v>21618080</v>
      </c>
      <c r="M41" s="592"/>
      <c r="N41" s="297">
        <v>337</v>
      </c>
      <c r="O41" s="592">
        <v>60896</v>
      </c>
      <c r="P41" s="592"/>
      <c r="Q41" s="592">
        <v>20522</v>
      </c>
      <c r="R41" s="592"/>
      <c r="S41" s="592">
        <v>340</v>
      </c>
      <c r="T41" s="592">
        <v>60896</v>
      </c>
      <c r="U41" s="592"/>
      <c r="V41" s="592">
        <v>20705</v>
      </c>
      <c r="W41" s="592"/>
      <c r="X41" s="592">
        <v>340</v>
      </c>
      <c r="Y41" s="592">
        <v>60896</v>
      </c>
      <c r="Z41" s="592"/>
      <c r="AA41" s="592">
        <v>20705</v>
      </c>
      <c r="AB41" s="595">
        <v>20704640</v>
      </c>
    </row>
    <row r="42" spans="1:28" ht="9.75" customHeight="1">
      <c r="A42" s="593" t="s">
        <v>1251</v>
      </c>
      <c r="B42" s="592"/>
      <c r="C42" s="592"/>
      <c r="D42" s="592"/>
      <c r="E42" s="592"/>
      <c r="F42" s="592">
        <f>SUM(C42*D42)/1000</f>
        <v>0</v>
      </c>
      <c r="G42" s="592"/>
      <c r="H42" s="592"/>
      <c r="I42" s="293"/>
      <c r="J42" s="592"/>
      <c r="K42" s="592"/>
      <c r="L42" s="228"/>
      <c r="M42" s="592"/>
      <c r="N42" s="592"/>
      <c r="O42" s="592"/>
      <c r="P42" s="592"/>
      <c r="Q42" s="592"/>
      <c r="R42" s="592"/>
      <c r="S42" s="592"/>
      <c r="T42" s="592"/>
      <c r="U42" s="592"/>
      <c r="V42" s="592"/>
      <c r="W42" s="592"/>
      <c r="X42" s="592"/>
      <c r="Y42" s="592"/>
      <c r="Z42" s="592"/>
      <c r="AA42" s="592"/>
      <c r="AB42" s="595"/>
    </row>
    <row r="43" spans="1:28" ht="15" customHeight="1">
      <c r="A43" s="593" t="s">
        <v>907</v>
      </c>
      <c r="B43" s="592"/>
      <c r="C43" s="592">
        <v>4</v>
      </c>
      <c r="D43" s="592">
        <v>25000</v>
      </c>
      <c r="E43" s="592"/>
      <c r="F43" s="592">
        <f>SUM(C43*D43)/1000</f>
        <v>100</v>
      </c>
      <c r="G43" s="592"/>
      <c r="H43" s="592">
        <v>4</v>
      </c>
      <c r="I43" s="293">
        <v>25000</v>
      </c>
      <c r="J43" s="592"/>
      <c r="K43" s="592">
        <f>SUM(H43*I43)/1000</f>
        <v>100</v>
      </c>
      <c r="L43" s="228">
        <v>100000</v>
      </c>
      <c r="M43" s="592"/>
      <c r="N43" s="297">
        <v>2</v>
      </c>
      <c r="O43" s="592">
        <v>25000</v>
      </c>
      <c r="P43" s="592"/>
      <c r="Q43" s="592">
        <f>SUM(N43*O43)/1000</f>
        <v>50</v>
      </c>
      <c r="R43" s="592"/>
      <c r="S43" s="592">
        <v>3</v>
      </c>
      <c r="T43" s="592">
        <v>25000</v>
      </c>
      <c r="U43" s="592"/>
      <c r="V43" s="592">
        <f>SUM(S43*T43)/1000</f>
        <v>75</v>
      </c>
      <c r="W43" s="592"/>
      <c r="X43" s="592">
        <v>3</v>
      </c>
      <c r="Y43" s="592">
        <v>25000</v>
      </c>
      <c r="Z43" s="592"/>
      <c r="AA43" s="592">
        <f>SUM(X43*Y43)/1000</f>
        <v>75</v>
      </c>
      <c r="AB43" s="595">
        <v>75000</v>
      </c>
    </row>
    <row r="44" spans="1:28" ht="15" customHeight="1">
      <c r="A44" s="593" t="s">
        <v>908</v>
      </c>
      <c r="B44" s="592"/>
      <c r="C44" s="592">
        <v>55</v>
      </c>
      <c r="D44" s="592">
        <v>429000</v>
      </c>
      <c r="E44" s="592"/>
      <c r="F44" s="592">
        <f>SUM(C44*D44)/1000</f>
        <v>23595</v>
      </c>
      <c r="G44" s="592"/>
      <c r="H44" s="592">
        <v>55</v>
      </c>
      <c r="I44" s="293">
        <v>273000</v>
      </c>
      <c r="J44" s="592"/>
      <c r="K44" s="592">
        <f>SUM(H44*I44)/1000</f>
        <v>15015</v>
      </c>
      <c r="L44" s="228">
        <v>23595000</v>
      </c>
      <c r="M44" s="592"/>
      <c r="N44" s="297">
        <v>52</v>
      </c>
      <c r="O44" s="592">
        <v>273000</v>
      </c>
      <c r="P44" s="592"/>
      <c r="Q44" s="592">
        <f>SUM(N44*O44)/1000</f>
        <v>14196</v>
      </c>
      <c r="R44" s="592"/>
      <c r="S44" s="592">
        <v>52</v>
      </c>
      <c r="T44" s="592">
        <v>273000</v>
      </c>
      <c r="U44" s="592"/>
      <c r="V44" s="592">
        <f>SUM(S44*T44)/1000</f>
        <v>14196</v>
      </c>
      <c r="W44" s="592"/>
      <c r="X44" s="592">
        <v>52</v>
      </c>
      <c r="Y44" s="592">
        <v>273000</v>
      </c>
      <c r="Z44" s="592"/>
      <c r="AA44" s="592">
        <f>SUM(X44*Y44)/1000</f>
        <v>14196</v>
      </c>
      <c r="AB44" s="595">
        <v>14196000</v>
      </c>
    </row>
    <row r="45" spans="1:28" ht="15" customHeight="1">
      <c r="A45" s="599" t="s">
        <v>1252</v>
      </c>
      <c r="B45" s="601"/>
      <c r="C45" s="592">
        <v>75</v>
      </c>
      <c r="D45" s="592">
        <v>163500</v>
      </c>
      <c r="E45" s="592"/>
      <c r="F45" s="592">
        <v>12262</v>
      </c>
      <c r="G45" s="601"/>
      <c r="H45" s="592">
        <v>75</v>
      </c>
      <c r="I45" s="293">
        <v>163500</v>
      </c>
      <c r="J45" s="592"/>
      <c r="K45" s="592">
        <v>12262</v>
      </c>
      <c r="L45" s="228">
        <v>12262500</v>
      </c>
      <c r="M45" s="601"/>
      <c r="N45" s="592">
        <v>75</v>
      </c>
      <c r="O45" s="592">
        <v>163500</v>
      </c>
      <c r="P45" s="592"/>
      <c r="Q45" s="592">
        <v>12262</v>
      </c>
      <c r="R45" s="601"/>
      <c r="S45" s="592">
        <v>75</v>
      </c>
      <c r="T45" s="592">
        <v>163500</v>
      </c>
      <c r="U45" s="592"/>
      <c r="V45" s="592">
        <v>12263</v>
      </c>
      <c r="W45" s="601"/>
      <c r="X45" s="592">
        <v>75</v>
      </c>
      <c r="Y45" s="592">
        <v>163500</v>
      </c>
      <c r="Z45" s="592"/>
      <c r="AA45" s="592">
        <v>12263</v>
      </c>
      <c r="AB45" s="595">
        <v>12262500</v>
      </c>
    </row>
    <row r="46" spans="1:28" ht="15" customHeight="1">
      <c r="A46" s="599" t="s">
        <v>1253</v>
      </c>
      <c r="B46" s="601"/>
      <c r="C46" s="592">
        <v>4</v>
      </c>
      <c r="D46" s="592">
        <v>550000</v>
      </c>
      <c r="E46" s="592"/>
      <c r="F46" s="592">
        <f>SUM(C46*D46)/1000</f>
        <v>2200</v>
      </c>
      <c r="G46" s="601"/>
      <c r="H46" s="592">
        <v>4</v>
      </c>
      <c r="I46" s="293">
        <v>550000</v>
      </c>
      <c r="J46" s="592"/>
      <c r="K46" s="592">
        <f>SUM(H46*I46)/1000</f>
        <v>2200</v>
      </c>
      <c r="L46" s="228">
        <v>2200000</v>
      </c>
      <c r="M46" s="601"/>
      <c r="N46" s="297">
        <v>3</v>
      </c>
      <c r="O46" s="592">
        <v>550000</v>
      </c>
      <c r="P46" s="592"/>
      <c r="Q46" s="592">
        <f>SUM(N46*O46)/1000</f>
        <v>1650</v>
      </c>
      <c r="R46" s="601"/>
      <c r="S46" s="592">
        <v>4</v>
      </c>
      <c r="T46" s="592">
        <v>550000</v>
      </c>
      <c r="U46" s="592"/>
      <c r="V46" s="592">
        <f>SUM(S46*T46)/1000</f>
        <v>2200</v>
      </c>
      <c r="W46" s="601"/>
      <c r="X46" s="592">
        <v>4</v>
      </c>
      <c r="Y46" s="592">
        <v>550000</v>
      </c>
      <c r="Z46" s="592"/>
      <c r="AA46" s="592">
        <f>SUM(X46*Y46)/1000</f>
        <v>2200</v>
      </c>
      <c r="AB46" s="595">
        <v>2200000</v>
      </c>
    </row>
    <row r="47" spans="1:28" ht="15" customHeight="1">
      <c r="A47" s="599" t="s">
        <v>1254</v>
      </c>
      <c r="B47" s="601"/>
      <c r="C47" s="592">
        <v>24</v>
      </c>
      <c r="D47" s="592">
        <v>372000</v>
      </c>
      <c r="E47" s="592"/>
      <c r="F47" s="592">
        <f>SUM(C47*D47)/1000</f>
        <v>8928</v>
      </c>
      <c r="G47" s="601"/>
      <c r="H47" s="592">
        <v>24</v>
      </c>
      <c r="I47" s="293">
        <v>372000</v>
      </c>
      <c r="J47" s="592"/>
      <c r="K47" s="592">
        <f>SUM(H47*I47)/1000</f>
        <v>8928</v>
      </c>
      <c r="L47" s="228">
        <v>8928000</v>
      </c>
      <c r="M47" s="601"/>
      <c r="N47" s="297">
        <v>25</v>
      </c>
      <c r="O47" s="592">
        <v>372000</v>
      </c>
      <c r="P47" s="592"/>
      <c r="Q47" s="592">
        <f>SUM(N47*O47)/1000</f>
        <v>9300</v>
      </c>
      <c r="R47" s="601"/>
      <c r="S47" s="592">
        <v>24</v>
      </c>
      <c r="T47" s="592">
        <v>372000</v>
      </c>
      <c r="U47" s="592"/>
      <c r="V47" s="592">
        <f>SUM(S47*T47)/1000</f>
        <v>8928</v>
      </c>
      <c r="W47" s="601"/>
      <c r="X47" s="592">
        <v>24</v>
      </c>
      <c r="Y47" s="592">
        <v>372000</v>
      </c>
      <c r="Z47" s="592"/>
      <c r="AA47" s="592">
        <f>SUM(X47*Y47)/1000</f>
        <v>8928</v>
      </c>
      <c r="AB47" s="595">
        <v>8928000</v>
      </c>
    </row>
    <row r="48" spans="1:28" ht="15" customHeight="1">
      <c r="A48" s="599" t="s">
        <v>1255</v>
      </c>
      <c r="B48" s="601"/>
      <c r="C48" s="592"/>
      <c r="D48" s="592"/>
      <c r="E48" s="592"/>
      <c r="F48" s="592"/>
      <c r="G48" s="601"/>
      <c r="H48" s="592"/>
      <c r="I48" s="592"/>
      <c r="J48" s="592"/>
      <c r="K48" s="592"/>
      <c r="L48" s="228"/>
      <c r="M48" s="601"/>
      <c r="N48" s="592"/>
      <c r="O48" s="592"/>
      <c r="P48" s="592"/>
      <c r="Q48" s="592"/>
      <c r="R48" s="601"/>
      <c r="S48" s="592"/>
      <c r="T48" s="592"/>
      <c r="U48" s="592"/>
      <c r="V48" s="592"/>
      <c r="W48" s="601"/>
      <c r="X48" s="592"/>
      <c r="Y48" s="592"/>
      <c r="Z48" s="592"/>
      <c r="AA48" s="592"/>
      <c r="AB48" s="595"/>
    </row>
    <row r="49" spans="1:28" ht="15" customHeight="1">
      <c r="A49" s="599" t="s">
        <v>968</v>
      </c>
      <c r="B49" s="601"/>
      <c r="C49" s="592"/>
      <c r="D49" s="592"/>
      <c r="E49" s="592"/>
      <c r="F49" s="592" t="s">
        <v>143</v>
      </c>
      <c r="G49" s="601"/>
      <c r="H49" s="592"/>
      <c r="I49" s="592"/>
      <c r="J49" s="592"/>
      <c r="K49" s="295"/>
      <c r="L49" s="228"/>
      <c r="M49" s="601"/>
      <c r="N49" s="592"/>
      <c r="O49" s="592"/>
      <c r="P49" s="592"/>
      <c r="Q49" s="295"/>
      <c r="R49" s="601"/>
      <c r="S49" s="592"/>
      <c r="T49" s="592"/>
      <c r="U49" s="592"/>
      <c r="V49" s="592">
        <v>54570</v>
      </c>
      <c r="W49" s="601"/>
      <c r="X49" s="592"/>
      <c r="Y49" s="592"/>
      <c r="Z49" s="592"/>
      <c r="AA49" s="592">
        <v>54570</v>
      </c>
      <c r="AB49" s="595">
        <v>54569961</v>
      </c>
    </row>
    <row r="50" spans="1:28" ht="24" customHeight="1">
      <c r="A50" s="599" t="s">
        <v>970</v>
      </c>
      <c r="B50" s="601"/>
      <c r="C50" s="592"/>
      <c r="D50" s="592"/>
      <c r="E50" s="592"/>
      <c r="F50" s="592" t="s">
        <v>143</v>
      </c>
      <c r="G50" s="601"/>
      <c r="H50" s="592"/>
      <c r="I50" s="592"/>
      <c r="J50" s="592"/>
      <c r="K50" s="592"/>
      <c r="L50" s="228"/>
      <c r="M50" s="601"/>
      <c r="N50" s="592"/>
      <c r="O50" s="592"/>
      <c r="P50" s="592"/>
      <c r="Q50" s="592"/>
      <c r="R50" s="601"/>
      <c r="S50" s="592"/>
      <c r="T50" s="592"/>
      <c r="U50" s="592"/>
      <c r="V50" s="592"/>
      <c r="W50" s="601"/>
      <c r="X50" s="592"/>
      <c r="Y50" s="592"/>
      <c r="Z50" s="592"/>
      <c r="AA50" s="592"/>
      <c r="AB50" s="595"/>
    </row>
    <row r="51" spans="1:28" ht="16.5" customHeight="1">
      <c r="A51" s="599" t="s">
        <v>971</v>
      </c>
      <c r="B51" s="601"/>
      <c r="C51" s="592"/>
      <c r="D51" s="592"/>
      <c r="E51" s="592"/>
      <c r="F51" s="592" t="s">
        <v>143</v>
      </c>
      <c r="G51" s="601"/>
      <c r="H51" s="597">
        <v>9.2</v>
      </c>
      <c r="I51" s="293">
        <v>400000</v>
      </c>
      <c r="J51" s="592"/>
      <c r="K51" s="592">
        <v>3680</v>
      </c>
      <c r="L51" s="228"/>
      <c r="M51" s="601"/>
      <c r="N51" s="597">
        <v>9.2</v>
      </c>
      <c r="O51" s="592">
        <v>400000</v>
      </c>
      <c r="P51" s="592"/>
      <c r="Q51" s="592">
        <v>3680</v>
      </c>
      <c r="R51" s="601"/>
      <c r="S51" s="597">
        <v>9.3</v>
      </c>
      <c r="T51" s="592">
        <v>400000</v>
      </c>
      <c r="U51" s="592"/>
      <c r="V51" s="592">
        <v>3720</v>
      </c>
      <c r="W51" s="601"/>
      <c r="X51" s="597">
        <v>9.3</v>
      </c>
      <c r="Y51" s="592">
        <v>400000</v>
      </c>
      <c r="Z51" s="592"/>
      <c r="AA51" s="592">
        <v>3720</v>
      </c>
      <c r="AB51" s="595">
        <v>3720000</v>
      </c>
    </row>
    <row r="52" spans="1:28" ht="15" customHeight="1">
      <c r="A52" s="599" t="s">
        <v>972</v>
      </c>
      <c r="B52" s="601"/>
      <c r="C52" s="592"/>
      <c r="D52" s="592"/>
      <c r="E52" s="592"/>
      <c r="F52" s="592" t="s">
        <v>143</v>
      </c>
      <c r="G52" s="601"/>
      <c r="H52" s="597">
        <v>22.8</v>
      </c>
      <c r="I52" s="293">
        <v>300000</v>
      </c>
      <c r="J52" s="592"/>
      <c r="K52" s="592">
        <v>840</v>
      </c>
      <c r="L52" s="228"/>
      <c r="M52" s="601"/>
      <c r="N52" s="597">
        <v>22.8</v>
      </c>
      <c r="O52" s="592">
        <v>300000</v>
      </c>
      <c r="P52" s="592"/>
      <c r="Q52" s="592">
        <v>840</v>
      </c>
      <c r="R52" s="601"/>
      <c r="S52" s="597">
        <v>23.8</v>
      </c>
      <c r="T52" s="592">
        <v>300000</v>
      </c>
      <c r="U52" s="592"/>
      <c r="V52" s="592">
        <v>7140</v>
      </c>
      <c r="W52" s="601"/>
      <c r="X52" s="597">
        <v>23.8</v>
      </c>
      <c r="Y52" s="592">
        <v>300000</v>
      </c>
      <c r="Z52" s="592"/>
      <c r="AA52" s="592">
        <v>7140</v>
      </c>
      <c r="AB52" s="595">
        <v>7140000</v>
      </c>
    </row>
    <row r="53" spans="1:28" ht="15" customHeight="1">
      <c r="A53" s="599" t="s">
        <v>973</v>
      </c>
      <c r="B53" s="601"/>
      <c r="C53" s="592"/>
      <c r="D53" s="592"/>
      <c r="E53" s="592"/>
      <c r="F53" s="592" t="s">
        <v>143</v>
      </c>
      <c r="G53" s="601"/>
      <c r="H53" s="592">
        <v>55</v>
      </c>
      <c r="I53" s="293">
        <v>120000</v>
      </c>
      <c r="J53" s="592"/>
      <c r="K53" s="592">
        <v>6600</v>
      </c>
      <c r="L53" s="228"/>
      <c r="M53" s="601"/>
      <c r="N53" s="297">
        <v>52</v>
      </c>
      <c r="O53" s="592">
        <v>120000</v>
      </c>
      <c r="P53" s="592"/>
      <c r="Q53" s="592">
        <v>6240</v>
      </c>
      <c r="R53" s="601"/>
      <c r="S53" s="592">
        <v>52</v>
      </c>
      <c r="T53" s="592">
        <v>156000</v>
      </c>
      <c r="U53" s="592"/>
      <c r="V53" s="592">
        <v>8112</v>
      </c>
      <c r="W53" s="601"/>
      <c r="X53" s="592">
        <v>52</v>
      </c>
      <c r="Y53" s="592">
        <v>156000</v>
      </c>
      <c r="Z53" s="592"/>
      <c r="AA53" s="592">
        <v>8112</v>
      </c>
      <c r="AB53" s="595">
        <v>8112000</v>
      </c>
    </row>
    <row r="54" spans="1:28" ht="24.75" customHeight="1">
      <c r="A54" s="599" t="s">
        <v>367</v>
      </c>
      <c r="B54" s="592"/>
      <c r="C54" s="592"/>
      <c r="D54" s="592"/>
      <c r="E54" s="592"/>
      <c r="F54" s="592"/>
      <c r="G54" s="592"/>
      <c r="H54" s="592"/>
      <c r="I54" s="592"/>
      <c r="J54" s="592"/>
      <c r="K54" s="592"/>
      <c r="L54" s="228"/>
      <c r="M54" s="592"/>
      <c r="N54" s="592"/>
      <c r="O54" s="592"/>
      <c r="P54" s="592"/>
      <c r="Q54" s="592"/>
      <c r="R54" s="592"/>
      <c r="S54" s="592"/>
      <c r="T54" s="592"/>
      <c r="U54" s="592"/>
      <c r="V54" s="592"/>
      <c r="W54" s="592"/>
      <c r="X54" s="592"/>
      <c r="Y54" s="592"/>
      <c r="Z54" s="592"/>
      <c r="AA54" s="592"/>
      <c r="AB54" s="595"/>
    </row>
    <row r="55" spans="1:28" ht="15" customHeight="1">
      <c r="A55" s="599" t="s">
        <v>368</v>
      </c>
      <c r="B55" s="592"/>
      <c r="C55" s="594">
        <v>37.25</v>
      </c>
      <c r="D55" s="592">
        <v>2848000</v>
      </c>
      <c r="E55" s="592"/>
      <c r="F55" s="592">
        <f>SUM(C55*D55)/1000</f>
        <v>106088</v>
      </c>
      <c r="G55" s="592"/>
      <c r="H55" s="594">
        <v>37.25</v>
      </c>
      <c r="I55" s="293">
        <v>2606040</v>
      </c>
      <c r="J55" s="592"/>
      <c r="K55" s="592">
        <f>SUM(H55*I55)/1000</f>
        <v>97074.99</v>
      </c>
      <c r="L55" s="228">
        <v>106088000</v>
      </c>
      <c r="M55" s="592"/>
      <c r="N55" s="594">
        <v>37.25</v>
      </c>
      <c r="O55" s="592">
        <v>2606040</v>
      </c>
      <c r="P55" s="592"/>
      <c r="Q55" s="592">
        <f>SUM(N55*O55)/1000</f>
        <v>97074.99</v>
      </c>
      <c r="R55" s="592"/>
      <c r="S55" s="594">
        <v>37.25</v>
      </c>
      <c r="T55" s="592">
        <v>2606040</v>
      </c>
      <c r="U55" s="592"/>
      <c r="V55" s="592">
        <f>SUM(S55*T55)/1000</f>
        <v>97074.99</v>
      </c>
      <c r="W55" s="592"/>
      <c r="X55" s="594">
        <v>37.25</v>
      </c>
      <c r="Y55" s="592">
        <v>2606040</v>
      </c>
      <c r="Z55" s="592"/>
      <c r="AA55" s="592">
        <f>SUM(X55*Y55)/1000</f>
        <v>97074.99</v>
      </c>
      <c r="AB55" s="595">
        <v>97074990</v>
      </c>
    </row>
    <row r="56" spans="1:28" ht="13.5" customHeight="1">
      <c r="A56" s="593" t="s">
        <v>369</v>
      </c>
      <c r="B56" s="592"/>
      <c r="C56" s="592"/>
      <c r="D56" s="592"/>
      <c r="E56" s="601"/>
      <c r="F56" s="592">
        <v>4477</v>
      </c>
      <c r="G56" s="592"/>
      <c r="H56" s="592"/>
      <c r="I56" s="592"/>
      <c r="J56" s="601"/>
      <c r="K56" s="203">
        <v>4477</v>
      </c>
      <c r="L56" s="592">
        <v>4477000</v>
      </c>
      <c r="M56" s="592"/>
      <c r="N56" s="592"/>
      <c r="O56" s="592"/>
      <c r="P56" s="601"/>
      <c r="Q56" s="203">
        <v>4477</v>
      </c>
      <c r="R56" s="592"/>
      <c r="S56" s="592"/>
      <c r="T56" s="592"/>
      <c r="U56" s="601"/>
      <c r="V56" s="592">
        <v>20645</v>
      </c>
      <c r="W56" s="592"/>
      <c r="X56" s="592"/>
      <c r="Y56" s="592"/>
      <c r="Z56" s="601"/>
      <c r="AA56" s="592">
        <v>20645</v>
      </c>
      <c r="AB56" s="595">
        <v>20645000</v>
      </c>
    </row>
    <row r="57" spans="1:28" ht="13.5" customHeight="1">
      <c r="A57" s="602" t="s">
        <v>974</v>
      </c>
      <c r="B57" s="592"/>
      <c r="C57" s="592"/>
      <c r="D57" s="592"/>
      <c r="E57" s="601"/>
      <c r="F57" s="592"/>
      <c r="G57" s="592"/>
      <c r="H57" s="594">
        <v>37.25</v>
      </c>
      <c r="I57" s="293">
        <v>241960</v>
      </c>
      <c r="J57" s="601"/>
      <c r="K57" s="592">
        <v>9013</v>
      </c>
      <c r="L57" s="592"/>
      <c r="M57" s="592"/>
      <c r="N57" s="594">
        <v>37.25</v>
      </c>
      <c r="O57" s="592">
        <v>241960</v>
      </c>
      <c r="P57" s="601"/>
      <c r="Q57" s="592">
        <v>9013</v>
      </c>
      <c r="R57" s="592"/>
      <c r="S57" s="594">
        <v>37.25</v>
      </c>
      <c r="T57" s="592">
        <v>241960</v>
      </c>
      <c r="U57" s="601"/>
      <c r="V57" s="592">
        <v>9013</v>
      </c>
      <c r="W57" s="592"/>
      <c r="X57" s="594">
        <v>37.25</v>
      </c>
      <c r="Y57" s="592">
        <v>241960</v>
      </c>
      <c r="Z57" s="601"/>
      <c r="AA57" s="592">
        <v>9013</v>
      </c>
      <c r="AB57" s="595">
        <v>9013010</v>
      </c>
    </row>
    <row r="58" spans="1:28" ht="13.5" customHeight="1">
      <c r="A58" s="603" t="s">
        <v>903</v>
      </c>
      <c r="B58" s="592"/>
      <c r="C58" s="592"/>
      <c r="D58" s="600"/>
      <c r="E58" s="604"/>
      <c r="F58" s="592"/>
      <c r="G58" s="592"/>
      <c r="H58" s="592"/>
      <c r="I58" s="600"/>
      <c r="J58" s="604"/>
      <c r="K58" s="592"/>
      <c r="L58" s="228"/>
      <c r="M58" s="592"/>
      <c r="N58" s="592"/>
      <c r="O58" s="600"/>
      <c r="P58" s="604"/>
      <c r="Q58" s="592"/>
      <c r="R58" s="592"/>
      <c r="S58" s="592"/>
      <c r="T58" s="600"/>
      <c r="U58" s="604"/>
      <c r="V58" s="592"/>
      <c r="W58" s="592"/>
      <c r="X58" s="592"/>
      <c r="Y58" s="600"/>
      <c r="Z58" s="604"/>
      <c r="AA58" s="592"/>
      <c r="AB58" s="595"/>
    </row>
    <row r="59" spans="1:28" ht="13.5" customHeight="1">
      <c r="A59" s="602" t="s">
        <v>931</v>
      </c>
      <c r="B59" s="594">
        <v>105.59</v>
      </c>
      <c r="C59" s="592"/>
      <c r="D59" s="592">
        <v>1900000</v>
      </c>
      <c r="E59" s="604"/>
      <c r="F59" s="592">
        <v>200621</v>
      </c>
      <c r="G59" s="594">
        <v>105.59</v>
      </c>
      <c r="H59" s="592"/>
      <c r="I59" s="293">
        <v>1900000</v>
      </c>
      <c r="J59" s="604"/>
      <c r="K59" s="592">
        <v>200621</v>
      </c>
      <c r="L59" s="228">
        <v>200621000</v>
      </c>
      <c r="M59" s="300">
        <v>110.36</v>
      </c>
      <c r="N59" s="592"/>
      <c r="O59" s="592">
        <v>1900000</v>
      </c>
      <c r="P59" s="604"/>
      <c r="Q59" s="592">
        <v>209684</v>
      </c>
      <c r="R59" s="594">
        <v>106.43</v>
      </c>
      <c r="S59" s="592"/>
      <c r="T59" s="592">
        <v>1900000</v>
      </c>
      <c r="U59" s="604"/>
      <c r="V59" s="592">
        <v>202407</v>
      </c>
      <c r="W59" s="594">
        <v>106.43</v>
      </c>
      <c r="X59" s="592"/>
      <c r="Y59" s="592">
        <v>1900000</v>
      </c>
      <c r="Z59" s="604"/>
      <c r="AA59" s="592">
        <v>202407</v>
      </c>
      <c r="AB59" s="595">
        <v>202407000</v>
      </c>
    </row>
    <row r="60" spans="1:28" ht="13.5" customHeight="1">
      <c r="A60" s="602" t="s">
        <v>932</v>
      </c>
      <c r="B60" s="592"/>
      <c r="C60" s="592"/>
      <c r="D60" s="600"/>
      <c r="E60" s="604"/>
      <c r="F60" s="592">
        <v>175118</v>
      </c>
      <c r="G60" s="592"/>
      <c r="H60" s="592"/>
      <c r="I60" s="600"/>
      <c r="J60" s="604"/>
      <c r="K60" s="301">
        <v>175118</v>
      </c>
      <c r="L60" s="592">
        <v>175117817</v>
      </c>
      <c r="M60" s="592"/>
      <c r="N60" s="592"/>
      <c r="O60" s="600"/>
      <c r="P60" s="604"/>
      <c r="Q60" s="301">
        <v>175118</v>
      </c>
      <c r="R60" s="592"/>
      <c r="S60" s="592"/>
      <c r="T60" s="600"/>
      <c r="U60" s="604"/>
      <c r="V60" s="592">
        <v>252877</v>
      </c>
      <c r="W60" s="592"/>
      <c r="X60" s="592"/>
      <c r="Y60" s="600"/>
      <c r="Z60" s="604"/>
      <c r="AA60" s="592">
        <v>252877</v>
      </c>
      <c r="AB60" s="595">
        <v>252877032</v>
      </c>
    </row>
    <row r="61" spans="1:28" ht="13.5" customHeight="1">
      <c r="A61" s="602" t="s">
        <v>209</v>
      </c>
      <c r="B61" s="592">
        <v>2310</v>
      </c>
      <c r="C61" s="592" t="s">
        <v>909</v>
      </c>
      <c r="D61" s="592">
        <v>285</v>
      </c>
      <c r="E61" s="604"/>
      <c r="F61" s="592">
        <v>658</v>
      </c>
      <c r="G61" s="592">
        <v>2310</v>
      </c>
      <c r="H61" s="592" t="s">
        <v>909</v>
      </c>
      <c r="I61" s="293">
        <v>285</v>
      </c>
      <c r="J61" s="604"/>
      <c r="K61" s="592">
        <v>658</v>
      </c>
      <c r="L61" s="228">
        <v>658350</v>
      </c>
      <c r="M61" s="592">
        <v>2310</v>
      </c>
      <c r="N61" s="592" t="s">
        <v>909</v>
      </c>
      <c r="O61" s="592">
        <v>285</v>
      </c>
      <c r="P61" s="604"/>
      <c r="Q61" s="592">
        <v>658</v>
      </c>
      <c r="R61" s="592">
        <v>2046</v>
      </c>
      <c r="S61" s="592" t="s">
        <v>909</v>
      </c>
      <c r="T61" s="592">
        <v>285</v>
      </c>
      <c r="U61" s="604"/>
      <c r="V61" s="592">
        <v>576</v>
      </c>
      <c r="W61" s="592">
        <v>2046</v>
      </c>
      <c r="X61" s="592" t="s">
        <v>909</v>
      </c>
      <c r="Y61" s="592">
        <v>285</v>
      </c>
      <c r="Z61" s="604"/>
      <c r="AA61" s="592">
        <v>576</v>
      </c>
      <c r="AB61" s="595">
        <v>576270</v>
      </c>
    </row>
    <row r="62" spans="1:28" ht="13.5" customHeight="1">
      <c r="A62" s="593" t="s">
        <v>975</v>
      </c>
      <c r="B62" s="597"/>
      <c r="C62" s="597"/>
      <c r="D62" s="592"/>
      <c r="E62" s="592"/>
      <c r="F62" s="592"/>
      <c r="G62" s="597"/>
      <c r="H62" s="597"/>
      <c r="I62" s="592"/>
      <c r="J62" s="592"/>
      <c r="K62" s="592"/>
      <c r="L62" s="228"/>
      <c r="M62" s="597"/>
      <c r="N62" s="597"/>
      <c r="O62" s="592"/>
      <c r="P62" s="592"/>
      <c r="Q62" s="592"/>
      <c r="R62" s="597"/>
      <c r="S62" s="597"/>
      <c r="T62" s="592"/>
      <c r="U62" s="592"/>
      <c r="V62" s="592"/>
      <c r="W62" s="597"/>
      <c r="X62" s="597"/>
      <c r="Y62" s="592"/>
      <c r="Z62" s="592"/>
      <c r="AA62" s="592"/>
      <c r="AB62" s="595"/>
    </row>
    <row r="63" spans="1:28" ht="13.5" customHeight="1">
      <c r="A63" s="593" t="s">
        <v>100</v>
      </c>
      <c r="B63" s="597"/>
      <c r="C63" s="597">
        <v>17</v>
      </c>
      <c r="D63" s="592">
        <v>4419000</v>
      </c>
      <c r="E63" s="592"/>
      <c r="F63" s="592">
        <f>SUM(C63*D63)/1000</f>
        <v>75123</v>
      </c>
      <c r="G63" s="597"/>
      <c r="H63" s="597">
        <v>17</v>
      </c>
      <c r="I63" s="293">
        <v>4419000</v>
      </c>
      <c r="J63" s="592"/>
      <c r="K63" s="592">
        <f>SUM(H63*I63)/1000</f>
        <v>75123</v>
      </c>
      <c r="L63" s="228"/>
      <c r="M63" s="597"/>
      <c r="N63" s="597">
        <v>17</v>
      </c>
      <c r="O63" s="592">
        <v>4419000</v>
      </c>
      <c r="P63" s="592"/>
      <c r="Q63" s="592">
        <f>SUM(N63*O63)/1000</f>
        <v>75123</v>
      </c>
      <c r="R63" s="597"/>
      <c r="S63" s="597">
        <v>17</v>
      </c>
      <c r="T63" s="592">
        <v>4419000</v>
      </c>
      <c r="U63" s="592"/>
      <c r="V63" s="592">
        <f>SUM(S63*T63)/1000</f>
        <v>75123</v>
      </c>
      <c r="W63" s="597"/>
      <c r="X63" s="597">
        <v>17</v>
      </c>
      <c r="Y63" s="592">
        <v>4419000</v>
      </c>
      <c r="Z63" s="592"/>
      <c r="AA63" s="592">
        <f>SUM(X63*Y63)/1000</f>
        <v>75123</v>
      </c>
      <c r="AB63" s="595">
        <v>75123000</v>
      </c>
    </row>
    <row r="64" spans="1:28" ht="13.5" customHeight="1">
      <c r="A64" s="593" t="s">
        <v>101</v>
      </c>
      <c r="B64" s="597"/>
      <c r="C64" s="597">
        <v>50.3</v>
      </c>
      <c r="D64" s="592">
        <v>2993000</v>
      </c>
      <c r="E64" s="597"/>
      <c r="F64" s="592">
        <v>150548</v>
      </c>
      <c r="G64" s="597"/>
      <c r="H64" s="597">
        <v>50.3</v>
      </c>
      <c r="I64" s="293">
        <v>2993000</v>
      </c>
      <c r="J64" s="597"/>
      <c r="K64" s="592">
        <v>150548</v>
      </c>
      <c r="L64" s="228"/>
      <c r="M64" s="597"/>
      <c r="N64" s="597">
        <v>50.3</v>
      </c>
      <c r="O64" s="592">
        <v>2993000</v>
      </c>
      <c r="P64" s="597"/>
      <c r="Q64" s="592">
        <v>150548</v>
      </c>
      <c r="R64" s="597"/>
      <c r="S64" s="597">
        <v>52.4</v>
      </c>
      <c r="T64" s="592">
        <v>2993000</v>
      </c>
      <c r="U64" s="597"/>
      <c r="V64" s="592">
        <v>156833</v>
      </c>
      <c r="W64" s="597"/>
      <c r="X64" s="597">
        <v>52.4</v>
      </c>
      <c r="Y64" s="592">
        <v>2993000</v>
      </c>
      <c r="Z64" s="597"/>
      <c r="AA64" s="592">
        <v>156833</v>
      </c>
      <c r="AB64" s="595">
        <v>156833200</v>
      </c>
    </row>
    <row r="65" spans="1:28" ht="13.5" customHeight="1">
      <c r="A65" s="593" t="s">
        <v>976</v>
      </c>
      <c r="B65" s="597"/>
      <c r="C65" s="597"/>
      <c r="D65" s="592"/>
      <c r="E65" s="597"/>
      <c r="F65" s="592"/>
      <c r="G65" s="597"/>
      <c r="H65" s="597"/>
      <c r="I65" s="592"/>
      <c r="J65" s="597"/>
      <c r="K65" s="302"/>
      <c r="L65" s="228"/>
      <c r="M65" s="597"/>
      <c r="N65" s="597"/>
      <c r="O65" s="592"/>
      <c r="P65" s="597"/>
      <c r="Q65" s="302"/>
      <c r="R65" s="597"/>
      <c r="S65" s="597"/>
      <c r="T65" s="592"/>
      <c r="U65" s="597"/>
      <c r="V65" s="592">
        <v>122290</v>
      </c>
      <c r="W65" s="597"/>
      <c r="X65" s="597"/>
      <c r="Y65" s="592"/>
      <c r="Z65" s="597"/>
      <c r="AA65" s="592">
        <v>122290</v>
      </c>
      <c r="AB65" s="595">
        <v>122290000</v>
      </c>
    </row>
    <row r="66" spans="1:28" ht="13.5" customHeight="1">
      <c r="A66" s="602" t="s">
        <v>758</v>
      </c>
      <c r="B66" s="597"/>
      <c r="C66" s="597"/>
      <c r="D66" s="592"/>
      <c r="E66" s="597"/>
      <c r="F66" s="592"/>
      <c r="G66" s="597"/>
      <c r="H66" s="597"/>
      <c r="I66" s="592"/>
      <c r="J66" s="597"/>
      <c r="K66" s="302"/>
      <c r="L66" s="228"/>
      <c r="M66" s="597"/>
      <c r="N66" s="597"/>
      <c r="O66" s="592"/>
      <c r="P66" s="597"/>
      <c r="Q66" s="302"/>
      <c r="R66" s="597"/>
      <c r="S66" s="597"/>
      <c r="T66" s="592"/>
      <c r="U66" s="597"/>
      <c r="V66" s="592"/>
      <c r="W66" s="597"/>
      <c r="X66" s="597"/>
      <c r="Y66" s="592"/>
      <c r="Z66" s="597"/>
      <c r="AA66" s="592">
        <v>24067</v>
      </c>
      <c r="AB66" s="595">
        <v>24066696</v>
      </c>
    </row>
    <row r="67" spans="1:28" ht="27.75" customHeight="1">
      <c r="A67" s="605" t="s">
        <v>759</v>
      </c>
      <c r="B67" s="597"/>
      <c r="C67" s="597"/>
      <c r="D67" s="592"/>
      <c r="E67" s="597"/>
      <c r="F67" s="592"/>
      <c r="G67" s="597"/>
      <c r="H67" s="597"/>
      <c r="I67" s="592"/>
      <c r="J67" s="597"/>
      <c r="K67" s="302"/>
      <c r="L67" s="228"/>
      <c r="M67" s="597"/>
      <c r="N67" s="597"/>
      <c r="O67" s="592"/>
      <c r="P67" s="597"/>
      <c r="Q67" s="302"/>
      <c r="R67" s="597"/>
      <c r="S67" s="597"/>
      <c r="T67" s="592"/>
      <c r="U67" s="597"/>
      <c r="V67" s="592"/>
      <c r="W67" s="597"/>
      <c r="X67" s="597"/>
      <c r="Y67" s="592"/>
      <c r="Z67" s="597"/>
      <c r="AA67" s="592">
        <v>775</v>
      </c>
      <c r="AB67" s="595">
        <v>775369</v>
      </c>
    </row>
    <row r="68" spans="1:28" ht="13.5" customHeight="1">
      <c r="A68" s="606" t="s">
        <v>370</v>
      </c>
      <c r="B68" s="592"/>
      <c r="C68" s="592"/>
      <c r="D68" s="601"/>
      <c r="E68" s="601"/>
      <c r="F68" s="592"/>
      <c r="G68" s="592"/>
      <c r="H68" s="592"/>
      <c r="I68" s="601"/>
      <c r="J68" s="601"/>
      <c r="K68" s="592"/>
      <c r="L68" s="228"/>
      <c r="M68" s="592"/>
      <c r="N68" s="592"/>
      <c r="O68" s="601"/>
      <c r="P68" s="601"/>
      <c r="Q68" s="592"/>
      <c r="R68" s="592"/>
      <c r="S68" s="592"/>
      <c r="T68" s="601"/>
      <c r="U68" s="601"/>
      <c r="V68" s="592"/>
      <c r="W68" s="592"/>
      <c r="X68" s="592"/>
      <c r="Y68" s="601"/>
      <c r="Z68" s="601"/>
      <c r="AA68" s="592"/>
      <c r="AB68" s="595"/>
    </row>
    <row r="69" spans="1:28" ht="23.25" customHeight="1">
      <c r="A69" s="599" t="s">
        <v>371</v>
      </c>
      <c r="B69" s="592"/>
      <c r="C69" s="592"/>
      <c r="D69" s="601"/>
      <c r="E69" s="601"/>
      <c r="F69" s="592">
        <v>106000</v>
      </c>
      <c r="G69" s="592"/>
      <c r="H69" s="592"/>
      <c r="I69" s="601"/>
      <c r="J69" s="601"/>
      <c r="K69" s="592">
        <v>106000</v>
      </c>
      <c r="L69" s="592">
        <v>106000000</v>
      </c>
      <c r="M69" s="592"/>
      <c r="N69" s="592"/>
      <c r="O69" s="601"/>
      <c r="P69" s="601"/>
      <c r="Q69" s="592">
        <v>106000</v>
      </c>
      <c r="R69" s="592"/>
      <c r="S69" s="592"/>
      <c r="T69" s="601"/>
      <c r="U69" s="601"/>
      <c r="V69" s="592">
        <v>108200</v>
      </c>
      <c r="W69" s="592"/>
      <c r="X69" s="592"/>
      <c r="Y69" s="601"/>
      <c r="Z69" s="601"/>
      <c r="AA69" s="592">
        <v>108200</v>
      </c>
      <c r="AB69" s="595">
        <v>108200000</v>
      </c>
    </row>
    <row r="70" spans="1:28" ht="24.75" customHeight="1">
      <c r="A70" s="599" t="s">
        <v>637</v>
      </c>
      <c r="B70" s="592"/>
      <c r="C70" s="592"/>
      <c r="D70" s="601"/>
      <c r="E70" s="601"/>
      <c r="F70" s="592">
        <v>134700</v>
      </c>
      <c r="G70" s="592"/>
      <c r="H70" s="592"/>
      <c r="I70" s="601"/>
      <c r="J70" s="601"/>
      <c r="K70" s="592">
        <v>134700</v>
      </c>
      <c r="L70" s="592">
        <v>134700000</v>
      </c>
      <c r="M70" s="592"/>
      <c r="N70" s="592"/>
      <c r="O70" s="601"/>
      <c r="P70" s="601"/>
      <c r="Q70" s="592">
        <v>134700</v>
      </c>
      <c r="R70" s="592"/>
      <c r="S70" s="592"/>
      <c r="T70" s="601"/>
      <c r="U70" s="601"/>
      <c r="V70" s="592">
        <v>135000</v>
      </c>
      <c r="W70" s="592"/>
      <c r="X70" s="592"/>
      <c r="Y70" s="601"/>
      <c r="Z70" s="601"/>
      <c r="AA70" s="592">
        <v>135000</v>
      </c>
      <c r="AB70" s="595">
        <v>135000000</v>
      </c>
    </row>
    <row r="71" spans="1:28" ht="13.5" customHeight="1">
      <c r="A71" s="599" t="s">
        <v>372</v>
      </c>
      <c r="B71" s="592">
        <v>58125</v>
      </c>
      <c r="C71" s="592"/>
      <c r="D71" s="601">
        <v>454</v>
      </c>
      <c r="E71" s="601"/>
      <c r="F71" s="607">
        <v>26389</v>
      </c>
      <c r="G71" s="293">
        <v>57914</v>
      </c>
      <c r="H71" s="592"/>
      <c r="I71" s="601">
        <v>454</v>
      </c>
      <c r="J71" s="601"/>
      <c r="K71" s="607">
        <v>26389</v>
      </c>
      <c r="L71" s="228">
        <v>26388750</v>
      </c>
      <c r="M71" s="592">
        <v>57914</v>
      </c>
      <c r="N71" s="592"/>
      <c r="O71" s="601">
        <v>454</v>
      </c>
      <c r="P71" s="601"/>
      <c r="Q71" s="607">
        <v>26389</v>
      </c>
      <c r="R71" s="592">
        <v>57914</v>
      </c>
      <c r="S71" s="592"/>
      <c r="T71" s="601">
        <v>454</v>
      </c>
      <c r="U71" s="601"/>
      <c r="V71" s="607">
        <v>26293</v>
      </c>
      <c r="W71" s="592">
        <v>57914</v>
      </c>
      <c r="X71" s="592"/>
      <c r="Y71" s="601">
        <v>454</v>
      </c>
      <c r="Z71" s="601"/>
      <c r="AA71" s="607">
        <v>26293</v>
      </c>
      <c r="AB71" s="595">
        <v>26292956</v>
      </c>
    </row>
    <row r="72" spans="1:28" ht="24.75" customHeight="1">
      <c r="A72" s="599" t="s">
        <v>210</v>
      </c>
      <c r="B72" s="608"/>
      <c r="C72" s="608"/>
      <c r="D72" s="608"/>
      <c r="E72" s="608"/>
      <c r="F72" s="608">
        <v>174474</v>
      </c>
      <c r="G72" s="608"/>
      <c r="H72" s="608"/>
      <c r="I72" s="608"/>
      <c r="J72" s="608"/>
      <c r="K72" s="608">
        <v>174474</v>
      </c>
      <c r="L72" s="608">
        <v>174473540</v>
      </c>
      <c r="M72" s="608"/>
      <c r="N72" s="608"/>
      <c r="O72" s="608"/>
      <c r="P72" s="608"/>
      <c r="Q72" s="608">
        <v>174474</v>
      </c>
      <c r="R72" s="608"/>
      <c r="S72" s="608"/>
      <c r="T72" s="608"/>
      <c r="U72" s="608"/>
      <c r="V72" s="608">
        <v>175534</v>
      </c>
      <c r="W72" s="608"/>
      <c r="X72" s="608"/>
      <c r="Y72" s="608"/>
      <c r="Z72" s="608"/>
      <c r="AA72" s="608">
        <v>175534</v>
      </c>
      <c r="AB72" s="609">
        <v>175534300</v>
      </c>
    </row>
    <row r="73" spans="1:28" ht="15" customHeight="1">
      <c r="A73" s="599" t="s">
        <v>632</v>
      </c>
      <c r="B73" s="592"/>
      <c r="C73" s="592"/>
      <c r="D73" s="592"/>
      <c r="E73" s="592"/>
      <c r="F73" s="607"/>
      <c r="G73" s="592"/>
      <c r="H73" s="592"/>
      <c r="I73" s="592"/>
      <c r="J73" s="592"/>
      <c r="K73" s="607"/>
      <c r="L73" s="228"/>
      <c r="M73" s="592"/>
      <c r="N73" s="592"/>
      <c r="O73" s="592"/>
      <c r="P73" s="592"/>
      <c r="Q73" s="607"/>
      <c r="R73" s="592"/>
      <c r="S73" s="592"/>
      <c r="T73" s="592"/>
      <c r="U73" s="592"/>
      <c r="V73" s="607"/>
      <c r="W73" s="592"/>
      <c r="X73" s="592"/>
      <c r="Y73" s="592"/>
      <c r="Z73" s="592"/>
      <c r="AA73" s="607"/>
      <c r="AB73" s="595"/>
    </row>
    <row r="74" spans="1:28" ht="13.5" customHeight="1">
      <c r="A74" s="599" t="s">
        <v>633</v>
      </c>
      <c r="B74" s="592"/>
      <c r="C74" s="592"/>
      <c r="D74" s="592"/>
      <c r="E74" s="592"/>
      <c r="F74" s="592"/>
      <c r="G74" s="592"/>
      <c r="H74" s="592"/>
      <c r="I74" s="592"/>
      <c r="J74" s="592"/>
      <c r="K74" s="592"/>
      <c r="L74" s="228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92"/>
      <c r="Z74" s="592"/>
      <c r="AA74" s="592"/>
      <c r="AB74" s="595"/>
    </row>
    <row r="75" spans="1:28" ht="15" customHeight="1">
      <c r="A75" s="593" t="s">
        <v>636</v>
      </c>
      <c r="B75" s="592"/>
      <c r="C75" s="592"/>
      <c r="D75" s="592"/>
      <c r="E75" s="592"/>
      <c r="F75" s="592">
        <v>264200</v>
      </c>
      <c r="G75" s="592"/>
      <c r="H75" s="592"/>
      <c r="I75" s="592"/>
      <c r="J75" s="592"/>
      <c r="K75" s="592">
        <v>264200</v>
      </c>
      <c r="L75" s="592">
        <v>264200000</v>
      </c>
      <c r="M75" s="592"/>
      <c r="N75" s="592"/>
      <c r="O75" s="592"/>
      <c r="P75" s="592"/>
      <c r="Q75" s="592">
        <v>264200</v>
      </c>
      <c r="R75" s="592"/>
      <c r="S75" s="592"/>
      <c r="T75" s="592"/>
      <c r="U75" s="592"/>
      <c r="V75" s="592">
        <v>270400</v>
      </c>
      <c r="W75" s="592"/>
      <c r="X75" s="592"/>
      <c r="Y75" s="592"/>
      <c r="Z75" s="592"/>
      <c r="AA75" s="592">
        <v>270400</v>
      </c>
      <c r="AB75" s="595">
        <v>270400000</v>
      </c>
    </row>
    <row r="76" spans="1:28" ht="15" customHeight="1">
      <c r="A76" s="593" t="s">
        <v>760</v>
      </c>
      <c r="B76" s="592"/>
      <c r="C76" s="592"/>
      <c r="D76" s="592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>
        <v>17339</v>
      </c>
      <c r="AB76" s="595">
        <v>17339481</v>
      </c>
    </row>
    <row r="77" spans="1:28" ht="13.5" customHeight="1">
      <c r="A77" s="154" t="s">
        <v>638</v>
      </c>
      <c r="B77" s="155"/>
      <c r="C77" s="155"/>
      <c r="D77" s="155"/>
      <c r="E77" s="155"/>
      <c r="F77" s="155">
        <f>SUM(F20:F75)</f>
        <v>2543384</v>
      </c>
      <c r="G77" s="155"/>
      <c r="H77" s="155"/>
      <c r="I77" s="155"/>
      <c r="J77" s="155"/>
      <c r="K77" s="155">
        <f>SUM(K20:K75)</f>
        <v>2552309.99</v>
      </c>
      <c r="L77" s="155">
        <f>SUM(L20:L75)</f>
        <v>2317713292</v>
      </c>
      <c r="M77" s="155"/>
      <c r="N77" s="155"/>
      <c r="O77" s="155"/>
      <c r="P77" s="155"/>
      <c r="Q77" s="155">
        <f>SUM(Q20:Q75)</f>
        <v>2581355.99</v>
      </c>
      <c r="R77" s="155"/>
      <c r="S77" s="155"/>
      <c r="T77" s="155"/>
      <c r="U77" s="155"/>
      <c r="V77" s="155">
        <f>SUM(V6:V75)</f>
        <v>2971208.99</v>
      </c>
      <c r="W77" s="155"/>
      <c r="X77" s="155"/>
      <c r="Y77" s="155"/>
      <c r="Z77" s="155"/>
      <c r="AA77" s="155">
        <f>SUM(AA6:AA76)</f>
        <v>3016791.99</v>
      </c>
      <c r="AB77" s="155">
        <f>SUM(AB6:AB76)</f>
        <v>3016792349</v>
      </c>
    </row>
    <row r="78" ht="12.75" customHeight="1"/>
    <row r="79" ht="12.75" customHeight="1"/>
    <row r="80" spans="11:17" ht="12">
      <c r="K80" s="153">
        <f>SUM(K77-F77)</f>
        <v>8925.990000000224</v>
      </c>
      <c r="Q80" s="153">
        <f>SUM(Q77-F77)</f>
        <v>37971.99000000022</v>
      </c>
    </row>
  </sheetData>
  <sheetProtection selectLockedCells="1" selectUnlockedCells="1"/>
  <mergeCells count="10">
    <mergeCell ref="W1:AA1"/>
    <mergeCell ref="W3:AA3"/>
    <mergeCell ref="R3:V3"/>
    <mergeCell ref="R1:V1"/>
    <mergeCell ref="G3:K3"/>
    <mergeCell ref="M3:Q3"/>
    <mergeCell ref="B1:F1"/>
    <mergeCell ref="G1:K1"/>
    <mergeCell ref="L1:L2"/>
    <mergeCell ref="M1:Q1"/>
  </mergeCells>
  <printOptions horizontalCentered="1" verticalCentered="1"/>
  <pageMargins left="0.03937007874015748" right="0.03937007874015748" top="0.3937007874015748" bottom="0.03937007874015748" header="0" footer="0.03937007874015748"/>
  <pageSetup horizontalDpi="300" verticalDpi="300" orientation="landscape" paperSize="9" scale="65" r:id="rId1"/>
  <headerFooter alignWithMargins="0">
    <oddHeader>&amp;C&amp;"Times New Roman,Félkövér dőlt"ÁLLAMI HOZZÁJÁRULÁSOKBÓL SZÁRMAZÓ BEVÉTEL 2019.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14" sqref="C14:E14"/>
    </sheetView>
  </sheetViews>
  <sheetFormatPr defaultColWidth="9.00390625" defaultRowHeight="12.75"/>
  <cols>
    <col min="1" max="1" width="9.375" style="16" customWidth="1"/>
    <col min="2" max="2" width="50.50390625" style="16" customWidth="1"/>
    <col min="3" max="4" width="17.50390625" style="16" customWidth="1"/>
    <col min="5" max="5" width="16.375" style="16" customWidth="1"/>
    <col min="6" max="16384" width="9.375" style="16" customWidth="1"/>
  </cols>
  <sheetData>
    <row r="1" spans="1:5" s="37" customFormat="1" ht="49.5" customHeight="1" thickBot="1">
      <c r="A1" s="51" t="s">
        <v>918</v>
      </c>
      <c r="B1" s="51" t="s">
        <v>857</v>
      </c>
      <c r="C1" s="51" t="s">
        <v>679</v>
      </c>
      <c r="D1" s="51" t="s">
        <v>750</v>
      </c>
      <c r="E1" s="51" t="s">
        <v>761</v>
      </c>
    </row>
    <row r="2" spans="1:5" s="37" customFormat="1" ht="19.5" customHeight="1">
      <c r="A2" s="610"/>
      <c r="B2" s="611" t="s">
        <v>869</v>
      </c>
      <c r="C2" s="611"/>
      <c r="D2" s="611"/>
      <c r="E2" s="610"/>
    </row>
    <row r="3" spans="1:5" s="23" customFormat="1" ht="12.75">
      <c r="A3" s="612" t="s">
        <v>919</v>
      </c>
      <c r="B3" s="53" t="s">
        <v>673</v>
      </c>
      <c r="C3" s="613">
        <v>4034936</v>
      </c>
      <c r="D3" s="614">
        <f>'[1]táj.2'!G771</f>
        <v>28187</v>
      </c>
      <c r="E3" s="613">
        <f>SUM(C3:D3)</f>
        <v>4063123</v>
      </c>
    </row>
    <row r="4" spans="1:5" s="23" customFormat="1" ht="12.75">
      <c r="A4" s="612" t="s">
        <v>920</v>
      </c>
      <c r="B4" s="53" t="s">
        <v>1217</v>
      </c>
      <c r="C4" s="613">
        <v>834475</v>
      </c>
      <c r="D4" s="614">
        <f>'[1]táj.2'!H771</f>
        <v>5696</v>
      </c>
      <c r="E4" s="613">
        <f>SUM(C4:D4)</f>
        <v>840171</v>
      </c>
    </row>
    <row r="5" spans="1:5" s="23" customFormat="1" ht="12.75">
      <c r="A5" s="612" t="s">
        <v>921</v>
      </c>
      <c r="B5" s="55" t="s">
        <v>1218</v>
      </c>
      <c r="C5" s="613">
        <v>7205741</v>
      </c>
      <c r="D5" s="614">
        <f>'[1]táj.2'!I771</f>
        <v>1552190</v>
      </c>
      <c r="E5" s="613">
        <f>SUM(C5:D5)</f>
        <v>8757931</v>
      </c>
    </row>
    <row r="6" spans="1:5" s="23" customFormat="1" ht="12.75">
      <c r="A6" s="612" t="s">
        <v>922</v>
      </c>
      <c r="B6" s="55" t="s">
        <v>355</v>
      </c>
      <c r="C6" s="613">
        <v>103630</v>
      </c>
      <c r="D6" s="614">
        <f>'[1]táj.2'!J771</f>
        <v>-5280</v>
      </c>
      <c r="E6" s="613">
        <f>SUM(C6:D6)</f>
        <v>98350</v>
      </c>
    </row>
    <row r="7" spans="1:5" s="23" customFormat="1" ht="12.75">
      <c r="A7" s="612" t="s">
        <v>923</v>
      </c>
      <c r="B7" s="55" t="s">
        <v>432</v>
      </c>
      <c r="C7" s="613">
        <v>2058427</v>
      </c>
      <c r="D7" s="614">
        <f>'[1]táj.2'!K771</f>
        <v>45592</v>
      </c>
      <c r="E7" s="613">
        <f>SUM(C7:D7)</f>
        <v>2104019</v>
      </c>
    </row>
    <row r="8" spans="1:5" s="23" customFormat="1" ht="13.5">
      <c r="A8" s="612"/>
      <c r="B8" s="63" t="s">
        <v>1267</v>
      </c>
      <c r="C8" s="62">
        <v>14237209</v>
      </c>
      <c r="D8" s="62">
        <f>SUM(D3:D7)</f>
        <v>1626385</v>
      </c>
      <c r="E8" s="62">
        <f>SUM(E3:E7)</f>
        <v>15863594</v>
      </c>
    </row>
    <row r="9" spans="1:5" s="23" customFormat="1" ht="12.75">
      <c r="A9" s="52" t="s">
        <v>924</v>
      </c>
      <c r="B9" s="54" t="s">
        <v>419</v>
      </c>
      <c r="C9" s="54">
        <v>22397674</v>
      </c>
      <c r="D9" s="615">
        <f>'[1]táj.2'!L771</f>
        <v>-1500515</v>
      </c>
      <c r="E9" s="54">
        <f>SUM(C9:D9)</f>
        <v>20897159</v>
      </c>
    </row>
    <row r="10" spans="1:5" s="23" customFormat="1" ht="12.75">
      <c r="A10" s="52" t="s">
        <v>925</v>
      </c>
      <c r="B10" s="54" t="s">
        <v>418</v>
      </c>
      <c r="C10" s="54">
        <v>4071334</v>
      </c>
      <c r="D10" s="615">
        <f>'[1]táj.2'!M771</f>
        <v>132166</v>
      </c>
      <c r="E10" s="54">
        <f>SUM(C10:D10)</f>
        <v>4203500</v>
      </c>
    </row>
    <row r="11" spans="1:5" s="23" customFormat="1" ht="12.75">
      <c r="A11" s="52" t="s">
        <v>926</v>
      </c>
      <c r="B11" s="54" t="s">
        <v>549</v>
      </c>
      <c r="C11" s="54">
        <v>190576</v>
      </c>
      <c r="D11" s="616">
        <f>'[1]táj.2'!N771</f>
        <v>42699</v>
      </c>
      <c r="E11" s="54">
        <f>SUM(C11:D11)</f>
        <v>233275</v>
      </c>
    </row>
    <row r="12" spans="1:5" s="23" customFormat="1" ht="13.5">
      <c r="A12" s="52"/>
      <c r="B12" s="63" t="s">
        <v>1268</v>
      </c>
      <c r="C12" s="62">
        <v>26659584</v>
      </c>
      <c r="D12" s="62">
        <f>SUM(D9:D11)</f>
        <v>-1325650</v>
      </c>
      <c r="E12" s="62">
        <f>SUM(E9:E11)</f>
        <v>25333934</v>
      </c>
    </row>
    <row r="13" spans="1:5" s="23" customFormat="1" ht="18" customHeight="1">
      <c r="A13" s="52" t="s">
        <v>550</v>
      </c>
      <c r="B13" s="63" t="s">
        <v>551</v>
      </c>
      <c r="C13" s="62">
        <v>40896793</v>
      </c>
      <c r="D13" s="62">
        <f>SUM(D8+D12)</f>
        <v>300735</v>
      </c>
      <c r="E13" s="62">
        <f>SUM(E8+E12)</f>
        <v>41197528</v>
      </c>
    </row>
    <row r="14" spans="1:5" s="23" customFormat="1" ht="16.5" customHeight="1">
      <c r="A14" s="52" t="s">
        <v>552</v>
      </c>
      <c r="B14" s="63" t="s">
        <v>868</v>
      </c>
      <c r="C14" s="62">
        <v>2187513</v>
      </c>
      <c r="D14" s="617">
        <f>'[1]táj.2'!O771+'[1]táj.2'!P771</f>
        <v>800553</v>
      </c>
      <c r="E14" s="62">
        <f>SUM(C14:D14)</f>
        <v>2988066</v>
      </c>
    </row>
    <row r="15" spans="1:5" s="23" customFormat="1" ht="18.75" customHeight="1">
      <c r="A15" s="56"/>
      <c r="B15" s="57" t="s">
        <v>709</v>
      </c>
      <c r="C15" s="58">
        <v>43084306</v>
      </c>
      <c r="D15" s="58">
        <f>SUM(D13:D14)</f>
        <v>1101288</v>
      </c>
      <c r="E15" s="58">
        <f>SUM(E13:E14)</f>
        <v>44185594</v>
      </c>
    </row>
    <row r="16" spans="1:5" s="4" customFormat="1" ht="12.75">
      <c r="A16" s="59"/>
      <c r="B16" s="59"/>
      <c r="C16" s="59"/>
      <c r="D16" s="59"/>
      <c r="E16" s="59"/>
    </row>
    <row r="17" spans="1:5" s="4" customFormat="1" ht="12.75">
      <c r="A17" s="59"/>
      <c r="B17" s="59"/>
      <c r="C17" s="59"/>
      <c r="D17" s="59"/>
      <c r="E17" s="59"/>
    </row>
    <row r="18" spans="1:5" s="4" customFormat="1" ht="12.75">
      <c r="A18" s="59"/>
      <c r="B18" s="59"/>
      <c r="C18" s="59"/>
      <c r="D18" s="59"/>
      <c r="E18" s="59"/>
    </row>
    <row r="19" spans="1:5" s="4" customFormat="1" ht="12.75">
      <c r="A19" s="59"/>
      <c r="B19" s="59"/>
      <c r="C19" s="59"/>
      <c r="D19" s="59"/>
      <c r="E19" s="59"/>
    </row>
    <row r="20" spans="1:5" s="4" customFormat="1" ht="12.75">
      <c r="A20" s="59"/>
      <c r="B20" s="59"/>
      <c r="C20" s="59"/>
      <c r="D20" s="59"/>
      <c r="E20" s="59"/>
    </row>
    <row r="21" spans="1:5" s="4" customFormat="1" ht="12.75">
      <c r="A21" s="59"/>
      <c r="B21" s="59"/>
      <c r="C21" s="59"/>
      <c r="D21" s="59"/>
      <c r="E21" s="59"/>
    </row>
    <row r="22" spans="1:5" s="4" customFormat="1" ht="12.75">
      <c r="A22" s="59"/>
      <c r="B22" s="59"/>
      <c r="C22" s="59"/>
      <c r="D22" s="59"/>
      <c r="E22" s="59"/>
    </row>
    <row r="23" spans="1:5" s="4" customFormat="1" ht="12.75">
      <c r="A23" s="59"/>
      <c r="B23" s="59"/>
      <c r="C23" s="59"/>
      <c r="D23" s="59"/>
      <c r="E23" s="59"/>
    </row>
    <row r="24" spans="1:5" s="4" customFormat="1" ht="12.75">
      <c r="A24" s="59"/>
      <c r="B24" s="59"/>
      <c r="C24" s="59"/>
      <c r="D24" s="59"/>
      <c r="E24" s="59"/>
    </row>
    <row r="25" spans="1:5" s="4" customFormat="1" ht="12.75">
      <c r="A25" s="59"/>
      <c r="B25" s="59"/>
      <c r="C25" s="59"/>
      <c r="D25" s="59"/>
      <c r="E25" s="59"/>
    </row>
    <row r="26" spans="1:5" s="4" customFormat="1" ht="12.75">
      <c r="A26" s="60"/>
      <c r="B26" s="59"/>
      <c r="C26" s="59"/>
      <c r="D26" s="59"/>
      <c r="E26" s="59"/>
    </row>
    <row r="27" spans="1:5" ht="12.75">
      <c r="A27" s="60"/>
      <c r="B27" s="60"/>
      <c r="C27" s="60"/>
      <c r="D27" s="60"/>
      <c r="E27" s="60"/>
    </row>
    <row r="28" spans="1:5" ht="12.75">
      <c r="A28" s="60"/>
      <c r="B28" s="60"/>
      <c r="C28" s="60"/>
      <c r="D28" s="60"/>
      <c r="E28" s="60"/>
    </row>
    <row r="29" spans="1:5" ht="12.75">
      <c r="A29" s="60"/>
      <c r="B29" s="60"/>
      <c r="C29" s="60"/>
      <c r="D29" s="60"/>
      <c r="E29" s="60"/>
    </row>
    <row r="30" spans="1:5" ht="12.75">
      <c r="A30" s="60"/>
      <c r="B30" s="60"/>
      <c r="C30" s="60"/>
      <c r="D30" s="60"/>
      <c r="E30" s="60"/>
    </row>
    <row r="31" spans="1:5" ht="12.75">
      <c r="A31" s="60"/>
      <c r="B31" s="60"/>
      <c r="C31" s="60"/>
      <c r="D31" s="60"/>
      <c r="E31" s="60"/>
    </row>
    <row r="32" spans="2:5" ht="12.75">
      <c r="B32" s="60"/>
      <c r="C32" s="60"/>
      <c r="D32" s="60"/>
      <c r="E32" s="60"/>
    </row>
  </sheetData>
  <sheetProtection/>
  <printOptions horizontalCentered="1"/>
  <pageMargins left="0.3937007874015748" right="0.35433070866141736" top="1.968503937007874" bottom="0.6692913385826772" header="1.1811023622047245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KIADÁSI  ELŐIRÁNYZATAI
ROVATONKÉNT 2019.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pane ySplit="2" topLeftCell="BM3" activePane="bottomLeft" state="frozen"/>
      <selection pane="topLeft" activeCell="A1" sqref="A1"/>
      <selection pane="bottomLeft" activeCell="D32" sqref="D31:D32"/>
    </sheetView>
  </sheetViews>
  <sheetFormatPr defaultColWidth="9.00390625" defaultRowHeight="12.75"/>
  <cols>
    <col min="1" max="1" width="3.375" style="19" customWidth="1"/>
    <col min="2" max="2" width="7.00390625" style="19" customWidth="1"/>
    <col min="3" max="3" width="23.375" style="19" customWidth="1"/>
    <col min="4" max="4" width="12.375" style="19" customWidth="1"/>
    <col min="5" max="5" width="14.375" style="19" customWidth="1"/>
    <col min="6" max="6" width="10.875" style="19" customWidth="1"/>
    <col min="7" max="7" width="10.375" style="19" customWidth="1"/>
    <col min="8" max="8" width="12.00390625" style="19" customWidth="1"/>
    <col min="9" max="9" width="14.00390625" style="19" customWidth="1"/>
    <col min="10" max="10" width="14.875" style="19" customWidth="1"/>
    <col min="11" max="11" width="13.375" style="19" customWidth="1"/>
    <col min="12" max="12" width="14.875" style="19" customWidth="1"/>
    <col min="13" max="13" width="13.625" style="19" customWidth="1"/>
    <col min="14" max="14" width="11.50390625" style="19" customWidth="1"/>
    <col min="15" max="16384" width="9.375" style="19" customWidth="1"/>
  </cols>
  <sheetData>
    <row r="1" spans="1:14" ht="12.75">
      <c r="A1" s="530" t="s">
        <v>574</v>
      </c>
      <c r="B1" s="530" t="s">
        <v>575</v>
      </c>
      <c r="C1" s="531" t="s">
        <v>857</v>
      </c>
      <c r="D1" s="528" t="s">
        <v>870</v>
      </c>
      <c r="E1" s="528"/>
      <c r="F1" s="528"/>
      <c r="G1" s="528"/>
      <c r="H1" s="528"/>
      <c r="I1" s="528"/>
      <c r="J1" s="528"/>
      <c r="K1" s="528" t="s">
        <v>1247</v>
      </c>
      <c r="L1" s="528"/>
      <c r="M1" s="529"/>
      <c r="N1" s="526" t="s">
        <v>859</v>
      </c>
    </row>
    <row r="2" spans="1:14" s="20" customFormat="1" ht="54.75" customHeight="1" thickBot="1">
      <c r="A2" s="530"/>
      <c r="B2" s="530"/>
      <c r="C2" s="531"/>
      <c r="D2" s="111" t="s">
        <v>339</v>
      </c>
      <c r="E2" s="111" t="s">
        <v>340</v>
      </c>
      <c r="F2" s="110" t="s">
        <v>354</v>
      </c>
      <c r="G2" s="108" t="s">
        <v>1243</v>
      </c>
      <c r="H2" s="110" t="s">
        <v>1244</v>
      </c>
      <c r="I2" s="110" t="s">
        <v>1245</v>
      </c>
      <c r="J2" s="110" t="s">
        <v>1246</v>
      </c>
      <c r="K2" s="110" t="s">
        <v>871</v>
      </c>
      <c r="L2" s="110" t="s">
        <v>872</v>
      </c>
      <c r="M2" s="116" t="s">
        <v>876</v>
      </c>
      <c r="N2" s="527"/>
    </row>
    <row r="3" spans="1:14" ht="16.5" customHeight="1">
      <c r="A3" s="42">
        <v>1</v>
      </c>
      <c r="B3" s="42"/>
      <c r="C3" s="42" t="s">
        <v>1184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17"/>
    </row>
    <row r="4" spans="1:14" ht="24.75" customHeight="1">
      <c r="A4" s="43"/>
      <c r="B4" s="43">
        <v>12</v>
      </c>
      <c r="C4" s="113" t="s">
        <v>639</v>
      </c>
      <c r="D4" s="44">
        <f>'[1]5.a'!E8</f>
        <v>0</v>
      </c>
      <c r="E4" s="44">
        <f>'[1]5.a'!F8</f>
        <v>0</v>
      </c>
      <c r="F4" s="44">
        <f>'[1]5.a'!G8</f>
        <v>0</v>
      </c>
      <c r="G4" s="44">
        <f>'[1]5.a'!H8</f>
        <v>9906</v>
      </c>
      <c r="H4" s="44">
        <f>'[1]5.a'!I8</f>
        <v>0</v>
      </c>
      <c r="I4" s="44">
        <f>'[1]5.a'!J8</f>
        <v>0</v>
      </c>
      <c r="J4" s="44">
        <f>'[1]5.a'!K8</f>
        <v>0</v>
      </c>
      <c r="K4" s="44">
        <f>'[1]5.a'!L8</f>
        <v>0</v>
      </c>
      <c r="L4" s="44">
        <f>'[1]5.a'!M8</f>
        <v>0</v>
      </c>
      <c r="M4" s="44">
        <f>'[1]5.a'!N8</f>
        <v>0</v>
      </c>
      <c r="N4" s="44">
        <f aca="true" t="shared" si="0" ref="N4:N16">SUM(D4:M4)</f>
        <v>9906</v>
      </c>
    </row>
    <row r="5" spans="1:14" ht="16.5" customHeight="1">
      <c r="A5" s="43"/>
      <c r="B5" s="43">
        <v>13</v>
      </c>
      <c r="C5" s="42" t="s">
        <v>640</v>
      </c>
      <c r="D5" s="44">
        <f>'[1]5.a'!E19</f>
        <v>36078</v>
      </c>
      <c r="E5" s="44">
        <f>'[1]5.a'!F19</f>
        <v>22000</v>
      </c>
      <c r="F5" s="44">
        <f>'[1]5.a'!G19</f>
        <v>0</v>
      </c>
      <c r="G5" s="44">
        <f>'[1]5.a'!H19</f>
        <v>6968</v>
      </c>
      <c r="H5" s="44">
        <f>'[1]5.a'!I19</f>
        <v>0</v>
      </c>
      <c r="I5" s="44">
        <f>'[1]5.a'!J19</f>
        <v>4500</v>
      </c>
      <c r="J5" s="44">
        <f>'[1]5.a'!K19</f>
        <v>0</v>
      </c>
      <c r="K5" s="44">
        <f>'[1]5.a'!L19</f>
        <v>0</v>
      </c>
      <c r="L5" s="44">
        <f>'[1]5.a'!M19</f>
        <v>0</v>
      </c>
      <c r="M5" s="44">
        <f>'[1]5.a'!N19</f>
        <v>0</v>
      </c>
      <c r="N5" s="44">
        <f t="shared" si="0"/>
        <v>69546</v>
      </c>
    </row>
    <row r="6" spans="1:14" ht="16.5" customHeight="1">
      <c r="A6" s="70"/>
      <c r="B6" s="70">
        <v>14</v>
      </c>
      <c r="C6" s="10" t="s">
        <v>1190</v>
      </c>
      <c r="D6" s="44">
        <f>'[1]5.a'!E23</f>
        <v>0</v>
      </c>
      <c r="E6" s="44">
        <f>'[1]5.a'!F23</f>
        <v>0</v>
      </c>
      <c r="F6" s="44">
        <f>'[1]5.a'!G23</f>
        <v>0</v>
      </c>
      <c r="G6" s="44">
        <f>'[1]5.a'!H23</f>
        <v>5080</v>
      </c>
      <c r="H6" s="44">
        <f>'[1]5.a'!I23</f>
        <v>0</v>
      </c>
      <c r="I6" s="44">
        <f>'[1]5.a'!J23</f>
        <v>0</v>
      </c>
      <c r="J6" s="44">
        <f>'[1]5.a'!K23</f>
        <v>0</v>
      </c>
      <c r="K6" s="44">
        <f>'[1]5.a'!L23</f>
        <v>0</v>
      </c>
      <c r="L6" s="44">
        <f>'[1]5.a'!M23</f>
        <v>0</v>
      </c>
      <c r="M6" s="44">
        <f>'[1]5.a'!N23</f>
        <v>0</v>
      </c>
      <c r="N6" s="44">
        <f t="shared" si="0"/>
        <v>5080</v>
      </c>
    </row>
    <row r="7" spans="1:14" ht="16.5" customHeight="1">
      <c r="A7" s="43"/>
      <c r="B7" s="43">
        <v>15</v>
      </c>
      <c r="C7" s="42" t="s">
        <v>1180</v>
      </c>
      <c r="D7" s="44">
        <f>'[1]5.a'!E39</f>
        <v>18382</v>
      </c>
      <c r="E7" s="44">
        <f>'[1]5.a'!F39</f>
        <v>0</v>
      </c>
      <c r="F7" s="44">
        <f>'[1]5.a'!G39</f>
        <v>0</v>
      </c>
      <c r="G7" s="44">
        <f>'[1]5.a'!H39</f>
        <v>480071</v>
      </c>
      <c r="H7" s="44">
        <f>'[1]5.a'!I39</f>
        <v>0</v>
      </c>
      <c r="I7" s="44">
        <f>'[1]5.a'!J39</f>
        <v>0</v>
      </c>
      <c r="J7" s="44">
        <f>'[1]5.a'!K39</f>
        <v>0</v>
      </c>
      <c r="K7" s="44">
        <f>'[1]5.a'!L39</f>
        <v>0</v>
      </c>
      <c r="L7" s="44">
        <f>'[1]5.a'!M39</f>
        <v>0</v>
      </c>
      <c r="M7" s="44">
        <f>'[1]5.a'!N39</f>
        <v>0</v>
      </c>
      <c r="N7" s="44">
        <f t="shared" si="0"/>
        <v>498453</v>
      </c>
    </row>
    <row r="8" spans="1:14" ht="16.5" customHeight="1">
      <c r="A8" s="43"/>
      <c r="B8" s="43">
        <v>16</v>
      </c>
      <c r="C8" s="42" t="s">
        <v>692</v>
      </c>
      <c r="D8" s="44">
        <f>'[1]5.a'!E70</f>
        <v>228810</v>
      </c>
      <c r="E8" s="44">
        <f>'[1]5.a'!F70</f>
        <v>6274455</v>
      </c>
      <c r="F8" s="44">
        <f>'[1]5.a'!G70</f>
        <v>0</v>
      </c>
      <c r="G8" s="44">
        <f>'[1]5.a'!H70</f>
        <v>3911953</v>
      </c>
      <c r="H8" s="44">
        <f>'[1]5.a'!I70</f>
        <v>0</v>
      </c>
      <c r="I8" s="44">
        <f>'[1]5.a'!J70</f>
        <v>0</v>
      </c>
      <c r="J8" s="44">
        <f>'[1]5.a'!K70</f>
        <v>190500</v>
      </c>
      <c r="K8" s="44">
        <f>'[1]5.a'!L70</f>
        <v>0</v>
      </c>
      <c r="L8" s="44">
        <f>'[1]5.a'!M70</f>
        <v>0</v>
      </c>
      <c r="M8" s="44">
        <f>'[1]5.a'!N70</f>
        <v>0</v>
      </c>
      <c r="N8" s="44">
        <f t="shared" si="0"/>
        <v>10605718</v>
      </c>
    </row>
    <row r="9" spans="1:14" ht="16.5" customHeight="1">
      <c r="A9" s="43"/>
      <c r="B9" s="43">
        <v>17</v>
      </c>
      <c r="C9" s="42" t="s">
        <v>1181</v>
      </c>
      <c r="D9" s="44">
        <f>'[1]5.a'!E96</f>
        <v>0</v>
      </c>
      <c r="E9" s="44">
        <f>'[1]5.a'!F96</f>
        <v>0</v>
      </c>
      <c r="F9" s="44">
        <f>'[1]5.a'!G96</f>
        <v>0</v>
      </c>
      <c r="G9" s="44">
        <f>'[1]5.a'!H96</f>
        <v>445574</v>
      </c>
      <c r="H9" s="44">
        <f>'[1]5.a'!I96</f>
        <v>226720</v>
      </c>
      <c r="I9" s="44">
        <f>'[1]5.a'!J96</f>
        <v>0</v>
      </c>
      <c r="J9" s="44">
        <f>'[1]5.a'!K96</f>
        <v>5900</v>
      </c>
      <c r="K9" s="44">
        <f>'[1]5.a'!L96</f>
        <v>0</v>
      </c>
      <c r="L9" s="44">
        <f>'[1]5.a'!M96</f>
        <v>145955</v>
      </c>
      <c r="M9" s="44">
        <f>'[1]5.a'!N96</f>
        <v>129308</v>
      </c>
      <c r="N9" s="44">
        <f t="shared" si="0"/>
        <v>953457</v>
      </c>
    </row>
    <row r="10" spans="1:14" ht="16.5" customHeight="1">
      <c r="A10" s="43"/>
      <c r="B10" s="43">
        <v>18</v>
      </c>
      <c r="C10" s="42" t="s">
        <v>1182</v>
      </c>
      <c r="D10" s="44">
        <f>'[1]5.a'!E104</f>
        <v>0</v>
      </c>
      <c r="E10" s="44">
        <f>'[1]5.a'!F104</f>
        <v>0</v>
      </c>
      <c r="F10" s="44">
        <f>'[1]5.a'!G104</f>
        <v>5000</v>
      </c>
      <c r="G10" s="44">
        <f>'[1]5.a'!H104</f>
        <v>76944</v>
      </c>
      <c r="H10" s="44">
        <f>'[1]5.a'!I104</f>
        <v>0</v>
      </c>
      <c r="I10" s="44">
        <f>'[1]5.a'!J104</f>
        <v>0</v>
      </c>
      <c r="J10" s="44">
        <f>'[1]5.a'!K104</f>
        <v>0</v>
      </c>
      <c r="K10" s="44">
        <f>'[1]5.a'!L104</f>
        <v>0</v>
      </c>
      <c r="L10" s="44">
        <f>'[1]5.a'!M104</f>
        <v>0</v>
      </c>
      <c r="M10" s="44">
        <f>'[1]5.a'!N104</f>
        <v>0</v>
      </c>
      <c r="N10" s="44">
        <f t="shared" si="0"/>
        <v>81944</v>
      </c>
    </row>
    <row r="11" spans="1:14" ht="16.5" customHeight="1">
      <c r="A11" s="43"/>
      <c r="B11" s="43">
        <v>19</v>
      </c>
      <c r="C11" s="42" t="s">
        <v>571</v>
      </c>
      <c r="D11" s="44">
        <f>'[1]5.a'!E136</f>
        <v>3064762</v>
      </c>
      <c r="E11" s="44">
        <f>'[1]5.a'!F136</f>
        <v>0</v>
      </c>
      <c r="F11" s="44">
        <f>'[1]5.a'!G136</f>
        <v>5409000</v>
      </c>
      <c r="G11" s="44">
        <f>'[1]5.a'!H136</f>
        <v>111180</v>
      </c>
      <c r="H11" s="44">
        <f>'[1]5.a'!I136</f>
        <v>0</v>
      </c>
      <c r="I11" s="44">
        <f>'[1]5.a'!J136</f>
        <v>0</v>
      </c>
      <c r="J11" s="44">
        <f>'[1]5.a'!K136</f>
        <v>0</v>
      </c>
      <c r="K11" s="44">
        <f>'[1]5.a'!L136</f>
        <v>190999</v>
      </c>
      <c r="L11" s="44">
        <f>'[1]5.a'!M136</f>
        <v>9066253</v>
      </c>
      <c r="M11" s="44">
        <f>'[1]5.a'!N136</f>
        <v>12121553</v>
      </c>
      <c r="N11" s="44">
        <f t="shared" si="0"/>
        <v>29963747</v>
      </c>
    </row>
    <row r="12" spans="1:14" ht="16.5" customHeight="1">
      <c r="A12" s="43"/>
      <c r="B12" s="43">
        <v>20</v>
      </c>
      <c r="C12" s="11" t="s">
        <v>192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>
        <f t="shared" si="0"/>
        <v>0</v>
      </c>
    </row>
    <row r="13" spans="1:14" ht="16.5" customHeight="1">
      <c r="A13" s="43"/>
      <c r="B13" s="43">
        <v>22</v>
      </c>
      <c r="C13" s="3" t="s">
        <v>214</v>
      </c>
      <c r="D13" s="44">
        <f>'[1]5.a'!E146</f>
        <v>0</v>
      </c>
      <c r="E13" s="44">
        <f>'[1]5.a'!F146</f>
        <v>0</v>
      </c>
      <c r="F13" s="44">
        <f>'[1]5.a'!G146</f>
        <v>0</v>
      </c>
      <c r="G13" s="44">
        <f>'[1]5.a'!H146</f>
        <v>1809</v>
      </c>
      <c r="H13" s="44">
        <f>'[1]5.a'!I146</f>
        <v>0</v>
      </c>
      <c r="I13" s="44">
        <f>'[1]5.a'!J146</f>
        <v>322</v>
      </c>
      <c r="J13" s="44">
        <f>'[1]5.a'!K146</f>
        <v>3124</v>
      </c>
      <c r="K13" s="44">
        <f>'[1]5.a'!L146</f>
        <v>0</v>
      </c>
      <c r="L13" s="44">
        <f>'[1]5.a'!M146</f>
        <v>0</v>
      </c>
      <c r="M13" s="44">
        <f>'[1]5.a'!N146</f>
        <v>0</v>
      </c>
      <c r="N13" s="44">
        <f t="shared" si="0"/>
        <v>5255</v>
      </c>
    </row>
    <row r="14" spans="1:14" ht="36" customHeight="1">
      <c r="A14" s="45"/>
      <c r="B14" s="45"/>
      <c r="C14" s="99" t="s">
        <v>229</v>
      </c>
      <c r="D14" s="61">
        <f aca="true" t="shared" si="1" ref="D14:M14">SUM(D4:D13)</f>
        <v>3348032</v>
      </c>
      <c r="E14" s="61">
        <f t="shared" si="1"/>
        <v>6296455</v>
      </c>
      <c r="F14" s="61">
        <f t="shared" si="1"/>
        <v>5414000</v>
      </c>
      <c r="G14" s="61">
        <f t="shared" si="1"/>
        <v>5049485</v>
      </c>
      <c r="H14" s="61">
        <f t="shared" si="1"/>
        <v>226720</v>
      </c>
      <c r="I14" s="61">
        <f t="shared" si="1"/>
        <v>4822</v>
      </c>
      <c r="J14" s="61">
        <f t="shared" si="1"/>
        <v>199524</v>
      </c>
      <c r="K14" s="61">
        <f t="shared" si="1"/>
        <v>190999</v>
      </c>
      <c r="L14" s="61">
        <f t="shared" si="1"/>
        <v>9212208</v>
      </c>
      <c r="M14" s="61">
        <f t="shared" si="1"/>
        <v>12250861</v>
      </c>
      <c r="N14" s="61">
        <f t="shared" si="0"/>
        <v>42193106</v>
      </c>
    </row>
    <row r="15" spans="1:14" ht="16.5" customHeight="1">
      <c r="A15" s="47">
        <v>2</v>
      </c>
      <c r="B15" s="47"/>
      <c r="C15" s="42" t="s">
        <v>1186</v>
      </c>
      <c r="D15" s="44">
        <f>SUM('[1]5.a'!E148)</f>
        <v>332844</v>
      </c>
      <c r="E15" s="44">
        <f>SUM('[1]5.a'!F148)</f>
        <v>10100</v>
      </c>
      <c r="F15" s="44">
        <f>SUM('[1]5.a'!G148)</f>
        <v>0</v>
      </c>
      <c r="G15" s="44">
        <f>SUM('[1]5.a'!H148)</f>
        <v>1251889</v>
      </c>
      <c r="H15" s="44">
        <f>SUM('[1]5.a'!I148)</f>
        <v>0</v>
      </c>
      <c r="I15" s="44">
        <f>SUM('[1]5.a'!J148)</f>
        <v>89449</v>
      </c>
      <c r="J15" s="44">
        <f>SUM('[1]5.a'!K148)</f>
        <v>0</v>
      </c>
      <c r="K15" s="44">
        <f>SUM('[1]5.a'!L148)</f>
        <v>0</v>
      </c>
      <c r="L15" s="44">
        <f>SUM('[1]5.a'!M148)</f>
        <v>308206</v>
      </c>
      <c r="M15" s="44"/>
      <c r="N15" s="44">
        <f t="shared" si="0"/>
        <v>1992488</v>
      </c>
    </row>
    <row r="16" spans="1:14" ht="16.5" customHeight="1">
      <c r="A16" s="45"/>
      <c r="B16" s="45"/>
      <c r="C16" s="46" t="s">
        <v>1174</v>
      </c>
      <c r="D16" s="61">
        <f aca="true" t="shared" si="2" ref="D16:M16">SUM(D14:D15)</f>
        <v>3680876</v>
      </c>
      <c r="E16" s="61">
        <f t="shared" si="2"/>
        <v>6306555</v>
      </c>
      <c r="F16" s="61">
        <f t="shared" si="2"/>
        <v>5414000</v>
      </c>
      <c r="G16" s="61">
        <f t="shared" si="2"/>
        <v>6301374</v>
      </c>
      <c r="H16" s="61">
        <f t="shared" si="2"/>
        <v>226720</v>
      </c>
      <c r="I16" s="61">
        <f t="shared" si="2"/>
        <v>94271</v>
      </c>
      <c r="J16" s="61">
        <f t="shared" si="2"/>
        <v>199524</v>
      </c>
      <c r="K16" s="61">
        <f t="shared" si="2"/>
        <v>190999</v>
      </c>
      <c r="L16" s="61">
        <f t="shared" si="2"/>
        <v>9520414</v>
      </c>
      <c r="M16" s="61">
        <f t="shared" si="2"/>
        <v>12250861</v>
      </c>
      <c r="N16" s="61">
        <f t="shared" si="0"/>
        <v>44185594</v>
      </c>
    </row>
    <row r="17" spans="3:13" ht="16.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3:12" ht="13.5" customHeight="1">
      <c r="C18" s="21"/>
      <c r="D18" s="22"/>
      <c r="E18" s="22"/>
      <c r="F18" s="22"/>
      <c r="G18" s="22"/>
      <c r="H18" s="22"/>
      <c r="I18" s="22"/>
      <c r="J18" s="22"/>
      <c r="K18" s="22"/>
      <c r="L18" s="22"/>
    </row>
    <row r="19" spans="4:12" ht="13.5" customHeight="1">
      <c r="D19" s="22"/>
      <c r="E19" s="22"/>
      <c r="F19" s="22"/>
      <c r="G19" s="22"/>
      <c r="H19" s="22"/>
      <c r="I19" s="22"/>
      <c r="J19" s="22"/>
      <c r="K19" s="22"/>
      <c r="L19" s="22"/>
    </row>
    <row r="20" spans="4:12" ht="13.5" customHeight="1">
      <c r="D20" s="22"/>
      <c r="E20" s="22"/>
      <c r="F20" s="22"/>
      <c r="G20" s="22"/>
      <c r="H20" s="22"/>
      <c r="I20" s="22"/>
      <c r="J20" s="22"/>
      <c r="K20" s="22"/>
      <c r="L20" s="22"/>
    </row>
    <row r="21" spans="4:12" ht="13.5" customHeight="1">
      <c r="D21" s="22"/>
      <c r="E21" s="22"/>
      <c r="F21" s="22"/>
      <c r="G21" s="22"/>
      <c r="H21" s="22"/>
      <c r="I21" s="22"/>
      <c r="J21" s="22"/>
      <c r="K21" s="22"/>
      <c r="L21" s="22"/>
    </row>
    <row r="22" spans="4:12" ht="13.5" customHeight="1">
      <c r="D22" s="22"/>
      <c r="E22" s="22"/>
      <c r="F22" s="22"/>
      <c r="G22" s="22"/>
      <c r="H22" s="22"/>
      <c r="I22" s="22"/>
      <c r="J22" s="22"/>
      <c r="K22" s="22"/>
      <c r="L22" s="22"/>
    </row>
    <row r="23" spans="4:12" ht="13.5" customHeight="1">
      <c r="D23" s="22"/>
      <c r="E23" s="22"/>
      <c r="F23" s="22"/>
      <c r="G23" s="22"/>
      <c r="H23" s="22"/>
      <c r="I23" s="22"/>
      <c r="J23" s="22"/>
      <c r="K23" s="22"/>
      <c r="L23" s="22"/>
    </row>
    <row r="24" spans="4:12" ht="13.5" customHeight="1">
      <c r="D24" s="22"/>
      <c r="E24" s="22"/>
      <c r="F24" s="22"/>
      <c r="G24" s="22"/>
      <c r="H24" s="22"/>
      <c r="I24" s="22"/>
      <c r="J24" s="22"/>
      <c r="K24" s="22"/>
      <c r="L24" s="22"/>
    </row>
    <row r="25" spans="4:12" ht="13.5" customHeight="1">
      <c r="D25" s="22"/>
      <c r="E25" s="22"/>
      <c r="F25" s="22"/>
      <c r="G25" s="22"/>
      <c r="H25" s="22"/>
      <c r="I25" s="22"/>
      <c r="J25" s="22"/>
      <c r="K25" s="22"/>
      <c r="L25" s="22"/>
    </row>
    <row r="26" spans="4:12" ht="13.5" customHeight="1">
      <c r="D26" s="22"/>
      <c r="E26" s="22"/>
      <c r="F26" s="22"/>
      <c r="G26" s="22"/>
      <c r="H26" s="22"/>
      <c r="I26" s="22"/>
      <c r="J26" s="22"/>
      <c r="K26" s="22"/>
      <c r="L26" s="22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1200" verticalDpi="1200" orientation="landscape" paperSize="9" scale="90" r:id="rId1"/>
  <headerFooter alignWithMargins="0">
    <oddHeader>&amp;C&amp;"Times New Roman,Félkövér dőlt"ZALAEGERSZEG MEGYEI JOGÚ VÁROS ÖNKORMÁNYZATA 
2019.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52"/>
  <sheetViews>
    <sheetView workbookViewId="0" topLeftCell="A1">
      <pane ySplit="2" topLeftCell="BM27" activePane="bottomLeft" state="frozen"/>
      <selection pane="topLeft" activeCell="A1" sqref="A1"/>
      <selection pane="bottomLeft" activeCell="C61" sqref="C61"/>
    </sheetView>
  </sheetViews>
  <sheetFormatPr defaultColWidth="9.00390625" defaultRowHeight="12.75"/>
  <cols>
    <col min="1" max="1" width="5.375" style="91" customWidth="1"/>
    <col min="2" max="2" width="5.50390625" style="91" customWidth="1"/>
    <col min="3" max="3" width="40.875" style="91" customWidth="1"/>
    <col min="4" max="4" width="9.875" style="192" customWidth="1"/>
    <col min="5" max="5" width="13.00390625" style="91" customWidth="1"/>
    <col min="6" max="6" width="13.125" style="91" customWidth="1"/>
    <col min="7" max="7" width="12.375" style="91" customWidth="1"/>
    <col min="8" max="8" width="11.375" style="91" customWidth="1"/>
    <col min="9" max="9" width="11.875" style="91" customWidth="1"/>
    <col min="10" max="10" width="15.50390625" style="91" customWidth="1"/>
    <col min="11" max="11" width="13.125" style="91" customWidth="1"/>
    <col min="12" max="14" width="11.50390625" style="91" customWidth="1"/>
    <col min="15" max="15" width="13.125" style="91" customWidth="1"/>
    <col min="16" max="16" width="7.375" style="91" customWidth="1"/>
    <col min="17" max="16384" width="9.375" style="91" customWidth="1"/>
  </cols>
  <sheetData>
    <row r="1" spans="1:15" ht="13.5">
      <c r="A1" s="535" t="s">
        <v>574</v>
      </c>
      <c r="B1" s="535" t="s">
        <v>575</v>
      </c>
      <c r="C1" s="532" t="s">
        <v>857</v>
      </c>
      <c r="D1" s="535" t="s">
        <v>108</v>
      </c>
      <c r="E1" s="533" t="s">
        <v>870</v>
      </c>
      <c r="F1" s="533"/>
      <c r="G1" s="533"/>
      <c r="H1" s="533"/>
      <c r="I1" s="533"/>
      <c r="J1" s="533"/>
      <c r="K1" s="533"/>
      <c r="L1" s="534" t="s">
        <v>1247</v>
      </c>
      <c r="M1" s="534"/>
      <c r="N1" s="534"/>
      <c r="O1" s="532" t="s">
        <v>338</v>
      </c>
    </row>
    <row r="2" spans="1:15" s="81" customFormat="1" ht="50.25" customHeight="1">
      <c r="A2" s="535"/>
      <c r="B2" s="535"/>
      <c r="C2" s="532"/>
      <c r="D2" s="536"/>
      <c r="E2" s="202" t="s">
        <v>339</v>
      </c>
      <c r="F2" s="202" t="s">
        <v>340</v>
      </c>
      <c r="G2" s="201" t="s">
        <v>354</v>
      </c>
      <c r="H2" s="191" t="s">
        <v>1243</v>
      </c>
      <c r="I2" s="201" t="s">
        <v>1244</v>
      </c>
      <c r="J2" s="201" t="s">
        <v>1245</v>
      </c>
      <c r="K2" s="201" t="s">
        <v>1246</v>
      </c>
      <c r="L2" s="201" t="s">
        <v>871</v>
      </c>
      <c r="M2" s="201" t="s">
        <v>872</v>
      </c>
      <c r="N2" s="201" t="s">
        <v>876</v>
      </c>
      <c r="O2" s="532"/>
    </row>
    <row r="3" spans="1:15" s="81" customFormat="1" ht="12.75" customHeight="1">
      <c r="A3" s="90">
        <v>1</v>
      </c>
      <c r="B3" s="90"/>
      <c r="C3" s="169" t="s">
        <v>1184</v>
      </c>
      <c r="D3" s="199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s="81" customFormat="1" ht="12.75" customHeight="1">
      <c r="A4" s="1">
        <v>1</v>
      </c>
      <c r="B4" s="1">
        <v>1</v>
      </c>
      <c r="C4" s="170" t="s">
        <v>191</v>
      </c>
      <c r="D4" s="181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85" customFormat="1" ht="13.5" customHeight="1">
      <c r="A5" s="618">
        <v>1</v>
      </c>
      <c r="B5" s="618">
        <v>12</v>
      </c>
      <c r="C5" s="171" t="s">
        <v>639</v>
      </c>
      <c r="D5" s="47"/>
      <c r="E5" s="619"/>
      <c r="F5" s="619"/>
      <c r="G5" s="82"/>
      <c r="H5" s="82"/>
      <c r="I5" s="82"/>
      <c r="J5" s="82"/>
      <c r="K5" s="82"/>
      <c r="L5" s="82"/>
      <c r="M5" s="82"/>
      <c r="N5" s="82"/>
      <c r="O5" s="82"/>
    </row>
    <row r="6" spans="1:15" s="85" customFormat="1" ht="24.75" customHeight="1">
      <c r="A6" s="618"/>
      <c r="B6" s="618"/>
      <c r="C6" s="102" t="s">
        <v>728</v>
      </c>
      <c r="D6" s="182"/>
      <c r="E6" s="619"/>
      <c r="F6" s="619"/>
      <c r="G6" s="82"/>
      <c r="H6" s="82"/>
      <c r="I6" s="82"/>
      <c r="J6" s="82"/>
      <c r="K6" s="82"/>
      <c r="L6" s="82"/>
      <c r="M6" s="82"/>
      <c r="N6" s="82"/>
      <c r="O6" s="82"/>
    </row>
    <row r="7" spans="1:15" s="85" customFormat="1" ht="16.5" customHeight="1">
      <c r="A7" s="1"/>
      <c r="B7" s="1"/>
      <c r="C7" s="101" t="s">
        <v>831</v>
      </c>
      <c r="D7" s="184" t="s">
        <v>590</v>
      </c>
      <c r="E7" s="82">
        <f>0+'[1]táj.1'!E7</f>
        <v>0</v>
      </c>
      <c r="F7" s="82">
        <f>0+'[1]táj.1'!F7</f>
        <v>0</v>
      </c>
      <c r="G7" s="82">
        <f>0+'[1]táj.1'!G7</f>
        <v>0</v>
      </c>
      <c r="H7" s="82">
        <f>9906+'[1]táj.1'!H7</f>
        <v>9906</v>
      </c>
      <c r="I7" s="82">
        <f>0+'[1]táj.1'!I7</f>
        <v>0</v>
      </c>
      <c r="J7" s="82">
        <f>0+'[1]táj.1'!J7</f>
        <v>0</v>
      </c>
      <c r="K7" s="82">
        <f>0+'[1]táj.1'!K7</f>
        <v>0</v>
      </c>
      <c r="L7" s="82">
        <f>0+'[1]táj.1'!L7</f>
        <v>0</v>
      </c>
      <c r="M7" s="82">
        <f>0+'[1]táj.1'!M7</f>
        <v>0</v>
      </c>
      <c r="N7" s="82">
        <f>0+'[1]táj.1'!N7</f>
        <v>0</v>
      </c>
      <c r="O7" s="82">
        <f>SUM(H7:N7)</f>
        <v>9906</v>
      </c>
    </row>
    <row r="8" spans="1:15" s="85" customFormat="1" ht="13.5" customHeight="1">
      <c r="A8" s="83"/>
      <c r="B8" s="83"/>
      <c r="C8" s="104" t="s">
        <v>646</v>
      </c>
      <c r="D8" s="183"/>
      <c r="E8" s="84">
        <f aca="true" t="shared" si="0" ref="E8:K8">SUM(E5:E7)</f>
        <v>0</v>
      </c>
      <c r="F8" s="84">
        <f t="shared" si="0"/>
        <v>0</v>
      </c>
      <c r="G8" s="84">
        <f t="shared" si="0"/>
        <v>0</v>
      </c>
      <c r="H8" s="84">
        <f t="shared" si="0"/>
        <v>9906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/>
      <c r="M8" s="84"/>
      <c r="N8" s="84">
        <f>SUM(N7:N7)</f>
        <v>0</v>
      </c>
      <c r="O8" s="84">
        <f>SUM(O7:O7)</f>
        <v>9906</v>
      </c>
    </row>
    <row r="9" spans="1:15" s="85" customFormat="1" ht="13.5" customHeight="1">
      <c r="A9" s="181">
        <v>1</v>
      </c>
      <c r="B9" s="181">
        <v>13</v>
      </c>
      <c r="C9" s="171" t="s">
        <v>640</v>
      </c>
      <c r="D9" s="184"/>
      <c r="E9" s="105"/>
      <c r="F9" s="620"/>
      <c r="G9" s="620"/>
      <c r="H9" s="620"/>
      <c r="I9" s="620"/>
      <c r="J9" s="620"/>
      <c r="K9" s="620"/>
      <c r="L9" s="620"/>
      <c r="M9" s="620"/>
      <c r="N9" s="620"/>
      <c r="O9" s="620"/>
    </row>
    <row r="10" spans="1:15" s="85" customFormat="1" ht="13.5" customHeight="1">
      <c r="A10" s="181"/>
      <c r="B10" s="181"/>
      <c r="C10" s="102" t="s">
        <v>730</v>
      </c>
      <c r="D10" s="147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15" s="85" customFormat="1" ht="24.75" customHeight="1">
      <c r="A11" s="181"/>
      <c r="B11" s="181"/>
      <c r="C11" s="102" t="s">
        <v>1216</v>
      </c>
      <c r="D11" s="147">
        <v>131705</v>
      </c>
      <c r="E11" s="82">
        <f>36078+'[1]táj.1'!E11</f>
        <v>36078</v>
      </c>
      <c r="F11" s="82">
        <f>0+'[1]táj.1'!F11</f>
        <v>0</v>
      </c>
      <c r="G11" s="82">
        <f>0+'[1]táj.1'!G11</f>
        <v>0</v>
      </c>
      <c r="H11" s="82">
        <f>0+'[1]táj.1'!H11</f>
        <v>0</v>
      </c>
      <c r="I11" s="82">
        <f>0+'[1]táj.1'!I11</f>
        <v>0</v>
      </c>
      <c r="J11" s="82">
        <f>0+'[1]táj.1'!J11</f>
        <v>0</v>
      </c>
      <c r="K11" s="82">
        <f>0+'[1]táj.1'!K11</f>
        <v>0</v>
      </c>
      <c r="L11" s="82">
        <f>0+'[1]táj.1'!L11</f>
        <v>0</v>
      </c>
      <c r="M11" s="82">
        <f>0+'[1]táj.1'!M11</f>
        <v>0</v>
      </c>
      <c r="N11" s="82">
        <f>0+'[1]táj.1'!N11</f>
        <v>0</v>
      </c>
      <c r="O11" s="82">
        <f>SUM(E11:N11)</f>
        <v>36078</v>
      </c>
    </row>
    <row r="12" spans="1:15" s="85" customFormat="1" ht="24.75" customHeight="1">
      <c r="A12" s="181"/>
      <c r="B12" s="181"/>
      <c r="C12" s="621" t="s">
        <v>912</v>
      </c>
      <c r="D12" s="147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622"/>
    </row>
    <row r="13" spans="1:15" s="85" customFormat="1" ht="24.75" customHeight="1">
      <c r="A13" s="181"/>
      <c r="B13" s="181"/>
      <c r="C13" s="621" t="s">
        <v>1213</v>
      </c>
      <c r="D13" s="147">
        <v>131703</v>
      </c>
      <c r="E13" s="82">
        <f>0+'[1]táj.1'!E13</f>
        <v>0</v>
      </c>
      <c r="F13" s="82">
        <f>0+'[1]táj.1'!F13</f>
        <v>0</v>
      </c>
      <c r="G13" s="82">
        <f>0+'[1]táj.1'!G13</f>
        <v>0</v>
      </c>
      <c r="H13" s="82">
        <f>5444+'[1]táj.1'!H13</f>
        <v>5444</v>
      </c>
      <c r="I13" s="82">
        <f>0+'[1]táj.1'!I13</f>
        <v>0</v>
      </c>
      <c r="J13" s="82">
        <f>0+'[1]táj.1'!J13</f>
        <v>0</v>
      </c>
      <c r="K13" s="82">
        <f>0+'[1]táj.1'!K13</f>
        <v>0</v>
      </c>
      <c r="L13" s="82">
        <f>0+'[1]táj.1'!L13</f>
        <v>0</v>
      </c>
      <c r="M13" s="82">
        <f>0+'[1]táj.1'!M13</f>
        <v>0</v>
      </c>
      <c r="N13" s="82">
        <f>0+'[1]táj.1'!N13</f>
        <v>0</v>
      </c>
      <c r="O13" s="82">
        <f>SUM(E13:N13)</f>
        <v>5444</v>
      </c>
    </row>
    <row r="14" spans="1:15" s="85" customFormat="1" ht="24.75" customHeight="1">
      <c r="A14" s="181"/>
      <c r="B14" s="181"/>
      <c r="C14" s="623" t="s">
        <v>113</v>
      </c>
      <c r="D14" s="147">
        <v>131711</v>
      </c>
      <c r="E14" s="82">
        <f>0+'[1]táj.1'!E14</f>
        <v>0</v>
      </c>
      <c r="F14" s="82">
        <f>0+'[1]táj.1'!F14</f>
        <v>0</v>
      </c>
      <c r="G14" s="82">
        <f>0+'[1]táj.1'!G14</f>
        <v>0</v>
      </c>
      <c r="H14" s="82">
        <f>1524+'[1]táj.1'!H14</f>
        <v>1524</v>
      </c>
      <c r="I14" s="82">
        <f>0+'[1]táj.1'!I14</f>
        <v>0</v>
      </c>
      <c r="J14" s="82">
        <f>0+'[1]táj.1'!J14</f>
        <v>0</v>
      </c>
      <c r="K14" s="82">
        <f>0+'[1]táj.1'!K14</f>
        <v>0</v>
      </c>
      <c r="L14" s="82">
        <f>0+'[1]táj.1'!L14</f>
        <v>0</v>
      </c>
      <c r="M14" s="82">
        <f>0+'[1]táj.1'!M14</f>
        <v>0</v>
      </c>
      <c r="N14" s="82">
        <f>0+'[1]táj.1'!N14</f>
        <v>0</v>
      </c>
      <c r="O14" s="82">
        <f>SUM(E14:N14)</f>
        <v>1524</v>
      </c>
    </row>
    <row r="15" spans="1:15" s="85" customFormat="1" ht="24.75" customHeight="1">
      <c r="A15" s="181"/>
      <c r="B15" s="181"/>
      <c r="C15" s="624" t="s">
        <v>816</v>
      </c>
      <c r="D15" s="147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5" s="85" customFormat="1" ht="24.75" customHeight="1">
      <c r="A16" s="181"/>
      <c r="B16" s="181"/>
      <c r="C16" s="625" t="s">
        <v>36</v>
      </c>
      <c r="D16" s="147">
        <v>162663</v>
      </c>
      <c r="E16" s="82">
        <f>0+'[1]táj.1'!E16</f>
        <v>0</v>
      </c>
      <c r="F16" s="82">
        <f>22000+'[1]táj.1'!F16</f>
        <v>22000</v>
      </c>
      <c r="G16" s="82">
        <f>0+'[1]táj.1'!G16</f>
        <v>0</v>
      </c>
      <c r="H16" s="82">
        <f>0+'[1]táj.1'!H16</f>
        <v>0</v>
      </c>
      <c r="I16" s="82">
        <f>0+'[1]táj.1'!I16</f>
        <v>0</v>
      </c>
      <c r="J16" s="82">
        <f>0+'[1]táj.1'!J16</f>
        <v>0</v>
      </c>
      <c r="K16" s="82">
        <f>0+'[1]táj.1'!K16</f>
        <v>0</v>
      </c>
      <c r="L16" s="82">
        <f>0+'[1]táj.1'!L16</f>
        <v>0</v>
      </c>
      <c r="M16" s="82">
        <f>0+'[1]táj.1'!M16</f>
        <v>0</v>
      </c>
      <c r="N16" s="82">
        <f>0+'[1]táj.1'!N16</f>
        <v>0</v>
      </c>
      <c r="O16" s="82">
        <f>SUM(E16:N16)</f>
        <v>22000</v>
      </c>
    </row>
    <row r="17" spans="1:15" s="85" customFormat="1" ht="25.5" customHeight="1">
      <c r="A17" s="181"/>
      <c r="B17" s="181"/>
      <c r="C17" s="122" t="s">
        <v>809</v>
      </c>
      <c r="D17" s="147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>
        <f>SUM(E17:N17)</f>
        <v>0</v>
      </c>
    </row>
    <row r="18" spans="1:15" s="85" customFormat="1" ht="24.75" customHeight="1">
      <c r="A18" s="181"/>
      <c r="B18" s="181"/>
      <c r="C18" s="102" t="s">
        <v>341</v>
      </c>
      <c r="D18" s="188">
        <v>131407</v>
      </c>
      <c r="E18" s="82">
        <f>0+'[1]táj.1'!E18</f>
        <v>0</v>
      </c>
      <c r="F18" s="82">
        <f>0+'[1]táj.1'!F18</f>
        <v>0</v>
      </c>
      <c r="G18" s="82">
        <f>0+'[1]táj.1'!G18</f>
        <v>0</v>
      </c>
      <c r="H18" s="82">
        <f>0+'[1]táj.1'!H18</f>
        <v>0</v>
      </c>
      <c r="I18" s="82">
        <f>0+'[1]táj.1'!I18</f>
        <v>0</v>
      </c>
      <c r="J18" s="82">
        <f>4500+'[1]táj.1'!J18</f>
        <v>4500</v>
      </c>
      <c r="K18" s="82">
        <f>0+'[1]táj.1'!K18</f>
        <v>0</v>
      </c>
      <c r="L18" s="82">
        <f>0+'[1]táj.1'!L18</f>
        <v>0</v>
      </c>
      <c r="M18" s="82">
        <f>0+'[1]táj.1'!M18</f>
        <v>0</v>
      </c>
      <c r="N18" s="82">
        <f>0+'[1]táj.1'!N18</f>
        <v>0</v>
      </c>
      <c r="O18" s="82">
        <f>SUM(E18:N18)</f>
        <v>4500</v>
      </c>
    </row>
    <row r="19" spans="1:15" s="85" customFormat="1" ht="13.5" customHeight="1">
      <c r="A19" s="83"/>
      <c r="B19" s="83"/>
      <c r="C19" s="104" t="s">
        <v>642</v>
      </c>
      <c r="D19" s="185"/>
      <c r="E19" s="84">
        <f aca="true" t="shared" si="1" ref="E19:K19">SUM(E11:E18)</f>
        <v>36078</v>
      </c>
      <c r="F19" s="84">
        <f t="shared" si="1"/>
        <v>22000</v>
      </c>
      <c r="G19" s="84">
        <f t="shared" si="1"/>
        <v>0</v>
      </c>
      <c r="H19" s="84">
        <f t="shared" si="1"/>
        <v>6968</v>
      </c>
      <c r="I19" s="84">
        <f t="shared" si="1"/>
        <v>0</v>
      </c>
      <c r="J19" s="84">
        <f t="shared" si="1"/>
        <v>4500</v>
      </c>
      <c r="K19" s="84">
        <f t="shared" si="1"/>
        <v>0</v>
      </c>
      <c r="L19" s="84"/>
      <c r="M19" s="84"/>
      <c r="N19" s="84">
        <f>SUM(N11:N18)</f>
        <v>0</v>
      </c>
      <c r="O19" s="84">
        <f>SUM(O11:O18)</f>
        <v>69546</v>
      </c>
    </row>
    <row r="20" spans="1:15" s="85" customFormat="1" ht="13.5" customHeight="1">
      <c r="A20" s="74">
        <v>1</v>
      </c>
      <c r="B20" s="74">
        <v>14</v>
      </c>
      <c r="C20" s="136" t="s">
        <v>1190</v>
      </c>
      <c r="D20" s="74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</row>
    <row r="21" spans="1:15" s="85" customFormat="1" ht="26.25" customHeight="1">
      <c r="A21" s="181"/>
      <c r="B21" s="181"/>
      <c r="C21" s="624" t="s">
        <v>816</v>
      </c>
      <c r="D21" s="626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</row>
    <row r="22" spans="1:15" s="85" customFormat="1" ht="17.25" customHeight="1">
      <c r="A22" s="181"/>
      <c r="B22" s="181"/>
      <c r="C22" s="95" t="s">
        <v>115</v>
      </c>
      <c r="D22" s="618">
        <v>171967</v>
      </c>
      <c r="E22" s="82">
        <f>0+'[1]táj.1'!E22:E22</f>
        <v>0</v>
      </c>
      <c r="F22" s="82">
        <f>0+'[1]táj.1'!F22:F22</f>
        <v>0</v>
      </c>
      <c r="G22" s="82">
        <f>0+'[1]táj.1'!G22:G22</f>
        <v>0</v>
      </c>
      <c r="H22" s="82">
        <f>5080+'[1]táj.1'!H22:H22</f>
        <v>5080</v>
      </c>
      <c r="I22" s="82">
        <f>0+'[1]táj.1'!I22:I22</f>
        <v>0</v>
      </c>
      <c r="J22" s="82">
        <f>0+'[1]táj.1'!J22:J22</f>
        <v>0</v>
      </c>
      <c r="K22" s="82">
        <f>0+'[1]táj.1'!K22:K22</f>
        <v>0</v>
      </c>
      <c r="L22" s="82">
        <f>0+'[1]táj.1'!L22:L22</f>
        <v>0</v>
      </c>
      <c r="M22" s="82">
        <f>0+'[1]táj.1'!M22:M22</f>
        <v>0</v>
      </c>
      <c r="N22" s="82">
        <f>0+'[1]táj.1'!N22:N22</f>
        <v>0</v>
      </c>
      <c r="O22" s="82">
        <f>SUM(E22:N22)</f>
        <v>5080</v>
      </c>
    </row>
    <row r="23" spans="1:15" s="85" customFormat="1" ht="13.5" customHeight="1">
      <c r="A23" s="83"/>
      <c r="B23" s="83"/>
      <c r="C23" s="104" t="s">
        <v>1191</v>
      </c>
      <c r="D23" s="185"/>
      <c r="E23" s="84"/>
      <c r="F23" s="84"/>
      <c r="G23" s="84"/>
      <c r="H23" s="84">
        <f>SUM(H22:H22)</f>
        <v>5080</v>
      </c>
      <c r="I23" s="84"/>
      <c r="J23" s="84"/>
      <c r="K23" s="84"/>
      <c r="L23" s="84"/>
      <c r="M23" s="84"/>
      <c r="N23" s="84"/>
      <c r="O23" s="84">
        <f>SUM(O22:O22)</f>
        <v>5080</v>
      </c>
    </row>
    <row r="24" spans="1:15" s="81" customFormat="1" ht="13.5" customHeight="1">
      <c r="A24" s="1">
        <v>1</v>
      </c>
      <c r="B24" s="1">
        <v>15</v>
      </c>
      <c r="C24" s="170" t="s">
        <v>861</v>
      </c>
      <c r="D24" s="218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 s="81" customFormat="1" ht="24.75" customHeight="1">
      <c r="A25" s="1"/>
      <c r="B25" s="1"/>
      <c r="C25" s="114" t="s">
        <v>748</v>
      </c>
      <c r="D25" s="198"/>
      <c r="E25" s="105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 s="81" customFormat="1" ht="24.75" customHeight="1">
      <c r="A26" s="1"/>
      <c r="B26" s="1"/>
      <c r="C26" s="95" t="s">
        <v>833</v>
      </c>
      <c r="D26" s="198">
        <v>151906</v>
      </c>
      <c r="E26" s="82">
        <f>0+'[1]táj.1'!E26</f>
        <v>0</v>
      </c>
      <c r="F26" s="82">
        <f>0+'[1]táj.1'!F26</f>
        <v>0</v>
      </c>
      <c r="G26" s="82">
        <f>0+'[1]táj.1'!G26</f>
        <v>0</v>
      </c>
      <c r="H26" s="82">
        <f>33937+'[1]táj.1'!H26</f>
        <v>33937</v>
      </c>
      <c r="I26" s="82">
        <f>0+'[1]táj.1'!I26</f>
        <v>0</v>
      </c>
      <c r="J26" s="82">
        <f>0+'[1]táj.1'!J26</f>
        <v>0</v>
      </c>
      <c r="K26" s="82">
        <f>0+'[1]táj.1'!K26</f>
        <v>0</v>
      </c>
      <c r="L26" s="82">
        <f>0+'[1]táj.1'!L26</f>
        <v>0</v>
      </c>
      <c r="M26" s="82">
        <f>0+'[1]táj.1'!M26</f>
        <v>0</v>
      </c>
      <c r="N26" s="82">
        <f>0+'[1]táj.1'!N26</f>
        <v>0</v>
      </c>
      <c r="O26" s="82">
        <f>SUM(E26:N26)</f>
        <v>33937</v>
      </c>
    </row>
    <row r="27" spans="1:15" s="81" customFormat="1" ht="15" customHeight="1">
      <c r="A27" s="1"/>
      <c r="B27" s="1"/>
      <c r="C27" s="101" t="s">
        <v>851</v>
      </c>
      <c r="D27" s="219" t="s">
        <v>591</v>
      </c>
      <c r="E27" s="82">
        <f>0+'[1]táj.1'!E27</f>
        <v>0</v>
      </c>
      <c r="F27" s="82">
        <f>0+'[1]táj.1'!F27</f>
        <v>0</v>
      </c>
      <c r="G27" s="82">
        <f>0+'[1]táj.1'!G27</f>
        <v>0</v>
      </c>
      <c r="H27" s="82">
        <f>175260+'[1]táj.1'!H27</f>
        <v>175260</v>
      </c>
      <c r="I27" s="82">
        <f>0+'[1]táj.1'!I27</f>
        <v>0</v>
      </c>
      <c r="J27" s="82">
        <f>0+'[1]táj.1'!J27</f>
        <v>0</v>
      </c>
      <c r="K27" s="82">
        <f>0+'[1]táj.1'!K27</f>
        <v>0</v>
      </c>
      <c r="L27" s="82">
        <f>0+'[1]táj.1'!L27</f>
        <v>0</v>
      </c>
      <c r="M27" s="82">
        <f>0+'[1]táj.1'!M27</f>
        <v>0</v>
      </c>
      <c r="N27" s="82">
        <f>0+'[1]táj.1'!N27</f>
        <v>0</v>
      </c>
      <c r="O27" s="82">
        <f>SUM(E27:N27)</f>
        <v>175260</v>
      </c>
    </row>
    <row r="28" spans="1:15" s="81" customFormat="1" ht="15" customHeight="1">
      <c r="A28" s="1"/>
      <c r="B28" s="1"/>
      <c r="C28" s="101" t="s">
        <v>414</v>
      </c>
      <c r="D28" s="219" t="s">
        <v>592</v>
      </c>
      <c r="E28" s="82">
        <f>0+'[1]táj.1'!E28</f>
        <v>0</v>
      </c>
      <c r="F28" s="82">
        <f>0+'[1]táj.1'!F28</f>
        <v>0</v>
      </c>
      <c r="G28" s="82">
        <f>0+'[1]táj.1'!G28</f>
        <v>0</v>
      </c>
      <c r="H28" s="82">
        <f>2667+'[1]táj.1'!H28</f>
        <v>2667</v>
      </c>
      <c r="I28" s="82">
        <f>0+'[1]táj.1'!I28</f>
        <v>0</v>
      </c>
      <c r="J28" s="82">
        <f>0+'[1]táj.1'!J28</f>
        <v>0</v>
      </c>
      <c r="K28" s="82">
        <f>0+'[1]táj.1'!K28</f>
        <v>0</v>
      </c>
      <c r="L28" s="82">
        <f>0+'[1]táj.1'!L28</f>
        <v>0</v>
      </c>
      <c r="M28" s="82">
        <f>0+'[1]táj.1'!M28</f>
        <v>0</v>
      </c>
      <c r="N28" s="82">
        <f>0+'[1]táj.1'!N28</f>
        <v>0</v>
      </c>
      <c r="O28" s="82">
        <f>SUM(E28:N28)</f>
        <v>2667</v>
      </c>
    </row>
    <row r="29" spans="1:15" s="81" customFormat="1" ht="15" customHeight="1">
      <c r="A29" s="1"/>
      <c r="B29" s="1"/>
      <c r="C29" s="223" t="s">
        <v>405</v>
      </c>
      <c r="D29" s="220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s="81" customFormat="1" ht="15" customHeight="1">
      <c r="A30" s="1"/>
      <c r="B30" s="1"/>
      <c r="C30" s="101" t="s">
        <v>561</v>
      </c>
      <c r="D30" s="219" t="s">
        <v>593</v>
      </c>
      <c r="E30" s="82">
        <f>0+'[1]táj.1'!E30</f>
        <v>0</v>
      </c>
      <c r="F30" s="82">
        <f>0+'[1]táj.1'!F30</f>
        <v>0</v>
      </c>
      <c r="G30" s="82">
        <f>0+'[1]táj.1'!G30</f>
        <v>0</v>
      </c>
      <c r="H30" s="82">
        <f>5080+'[1]táj.1'!H30</f>
        <v>5080</v>
      </c>
      <c r="I30" s="82">
        <f>0+'[1]táj.1'!I30</f>
        <v>0</v>
      </c>
      <c r="J30" s="82">
        <f>0+'[1]táj.1'!J30</f>
        <v>0</v>
      </c>
      <c r="K30" s="82">
        <f>0+'[1]táj.1'!K30</f>
        <v>0</v>
      </c>
      <c r="L30" s="82">
        <f>0+'[1]táj.1'!L30</f>
        <v>0</v>
      </c>
      <c r="M30" s="82">
        <f>0+'[1]táj.1'!M30</f>
        <v>0</v>
      </c>
      <c r="N30" s="82">
        <f>0+'[1]táj.1'!N30</f>
        <v>0</v>
      </c>
      <c r="O30" s="82">
        <f>SUM(E30:N30)</f>
        <v>5080</v>
      </c>
    </row>
    <row r="31" spans="1:15" s="81" customFormat="1" ht="15" customHeight="1">
      <c r="A31" s="1"/>
      <c r="B31" s="1"/>
      <c r="C31" s="224" t="s">
        <v>708</v>
      </c>
      <c r="D31" s="219" t="s">
        <v>691</v>
      </c>
      <c r="E31" s="82">
        <f>0+'[1]táj.1'!E31</f>
        <v>0</v>
      </c>
      <c r="F31" s="82">
        <f>0+'[1]táj.1'!F31</f>
        <v>0</v>
      </c>
      <c r="G31" s="82">
        <f>0+'[1]táj.1'!G31</f>
        <v>0</v>
      </c>
      <c r="H31" s="82">
        <f>10270+'[1]táj.1'!H31</f>
        <v>10270</v>
      </c>
      <c r="I31" s="82">
        <f>0+'[1]táj.1'!I31</f>
        <v>0</v>
      </c>
      <c r="J31" s="82">
        <f>0+'[1]táj.1'!J31</f>
        <v>0</v>
      </c>
      <c r="K31" s="82">
        <f>0+'[1]táj.1'!K31</f>
        <v>0</v>
      </c>
      <c r="L31" s="82">
        <f>0+'[1]táj.1'!L31</f>
        <v>0</v>
      </c>
      <c r="M31" s="82">
        <f>0+'[1]táj.1'!M31</f>
        <v>0</v>
      </c>
      <c r="N31" s="82">
        <f>0+'[1]táj.1'!N31</f>
        <v>0</v>
      </c>
      <c r="O31" s="82">
        <f>SUM(E31:N31)</f>
        <v>10270</v>
      </c>
    </row>
    <row r="32" spans="1:15" s="81" customFormat="1" ht="24.75" customHeight="1">
      <c r="A32" s="1"/>
      <c r="B32" s="1"/>
      <c r="C32" s="95" t="s">
        <v>736</v>
      </c>
      <c r="D32" s="221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81" customFormat="1" ht="17.25" customHeight="1">
      <c r="A33" s="1"/>
      <c r="B33" s="1"/>
      <c r="C33" s="102" t="s">
        <v>863</v>
      </c>
      <c r="D33" s="627" t="s">
        <v>864</v>
      </c>
      <c r="E33" s="82">
        <f>0+'[1]táj.1'!E33</f>
        <v>0</v>
      </c>
      <c r="F33" s="82">
        <f>0+'[1]táj.1'!F33</f>
        <v>0</v>
      </c>
      <c r="G33" s="82">
        <f>0+'[1]táj.1'!G33</f>
        <v>0</v>
      </c>
      <c r="H33" s="82">
        <f>0+'[1]táj.1'!H33</f>
        <v>0</v>
      </c>
      <c r="I33" s="82">
        <f>0+'[1]táj.1'!I33</f>
        <v>0</v>
      </c>
      <c r="J33" s="82">
        <f>0+'[1]táj.1'!J33</f>
        <v>0</v>
      </c>
      <c r="K33" s="82">
        <f>0+'[1]táj.1'!K33</f>
        <v>0</v>
      </c>
      <c r="L33" s="82">
        <f>0+'[1]táj.1'!L33</f>
        <v>0</v>
      </c>
      <c r="M33" s="82">
        <f>0+'[1]táj.1'!M33</f>
        <v>0</v>
      </c>
      <c r="N33" s="82">
        <f>0+'[1]táj.1'!N33</f>
        <v>0</v>
      </c>
      <c r="O33" s="82">
        <f>SUM(E33:N33)</f>
        <v>0</v>
      </c>
    </row>
    <row r="34" spans="1:15" s="81" customFormat="1" ht="24.75" customHeight="1">
      <c r="A34" s="1"/>
      <c r="B34" s="1"/>
      <c r="C34" s="114" t="s">
        <v>746</v>
      </c>
      <c r="D34" s="627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1:15" s="81" customFormat="1" ht="27" customHeight="1">
      <c r="A35" s="1"/>
      <c r="B35" s="1"/>
      <c r="C35" s="95" t="s">
        <v>118</v>
      </c>
      <c r="D35" s="628">
        <v>151701</v>
      </c>
      <c r="E35" s="82">
        <f>0+'[1]táj.1'!E35</f>
        <v>0</v>
      </c>
      <c r="F35" s="82">
        <f>0+'[1]táj.1'!F35</f>
        <v>0</v>
      </c>
      <c r="G35" s="82">
        <f>0+'[1]táj.1'!G35</f>
        <v>0</v>
      </c>
      <c r="H35" s="82">
        <f>4318+'[1]táj.1'!H35</f>
        <v>4318</v>
      </c>
      <c r="I35" s="82">
        <f>0+'[1]táj.1'!I35</f>
        <v>0</v>
      </c>
      <c r="J35" s="82">
        <f>0+'[1]táj.1'!J35</f>
        <v>0</v>
      </c>
      <c r="K35" s="82">
        <f>0+'[1]táj.1'!K35</f>
        <v>0</v>
      </c>
      <c r="L35" s="82">
        <f>0+'[1]táj.1'!L35</f>
        <v>0</v>
      </c>
      <c r="M35" s="82">
        <f>0+'[1]táj.1'!M35</f>
        <v>0</v>
      </c>
      <c r="N35" s="82">
        <f>0+'[1]táj.1'!N35</f>
        <v>0</v>
      </c>
      <c r="O35" s="82">
        <f>SUM(E35:N35)</f>
        <v>4318</v>
      </c>
    </row>
    <row r="36" spans="1:15" s="81" customFormat="1" ht="27" customHeight="1">
      <c r="A36" s="1"/>
      <c r="B36" s="1"/>
      <c r="C36" s="95" t="s">
        <v>980</v>
      </c>
      <c r="D36" s="221" t="s">
        <v>165</v>
      </c>
      <c r="E36" s="82">
        <f>18382+'[1]táj.1'!E36</f>
        <v>18382</v>
      </c>
      <c r="F36" s="82">
        <f>0+'[1]táj.1'!F36</f>
        <v>0</v>
      </c>
      <c r="G36" s="82">
        <f>0+'[1]táj.1'!G36</f>
        <v>0</v>
      </c>
      <c r="H36" s="82">
        <f>0+'[1]táj.1'!H36</f>
        <v>0</v>
      </c>
      <c r="I36" s="82">
        <f>0+'[1]táj.1'!I36</f>
        <v>0</v>
      </c>
      <c r="J36" s="82">
        <f>0+'[1]táj.1'!J36</f>
        <v>0</v>
      </c>
      <c r="K36" s="82">
        <f>0+'[1]táj.1'!K36</f>
        <v>0</v>
      </c>
      <c r="L36" s="82">
        <f>0+'[1]táj.1'!L36</f>
        <v>0</v>
      </c>
      <c r="M36" s="82">
        <f>0+'[1]táj.1'!M36</f>
        <v>0</v>
      </c>
      <c r="N36" s="82">
        <f>0+'[1]táj.1'!N36</f>
        <v>0</v>
      </c>
      <c r="O36" s="82">
        <f>SUM(E36:N36)</f>
        <v>18382</v>
      </c>
    </row>
    <row r="37" spans="1:15" s="81" customFormat="1" ht="26.25" customHeight="1">
      <c r="A37" s="1"/>
      <c r="B37" s="1"/>
      <c r="C37" s="95" t="s">
        <v>815</v>
      </c>
      <c r="D37" s="22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5" s="81" customFormat="1" ht="24.75" customHeight="1">
      <c r="A38" s="1"/>
      <c r="B38" s="1"/>
      <c r="C38" s="102" t="s">
        <v>230</v>
      </c>
      <c r="D38" s="627" t="s">
        <v>594</v>
      </c>
      <c r="E38" s="82">
        <f>0+'[1]táj.1'!E38</f>
        <v>0</v>
      </c>
      <c r="F38" s="82">
        <f>0+'[1]táj.1'!F38</f>
        <v>0</v>
      </c>
      <c r="G38" s="82">
        <f>0+'[1]táj.1'!G38</f>
        <v>0</v>
      </c>
      <c r="H38" s="82">
        <f>248539+'[1]táj.1'!H38</f>
        <v>248539</v>
      </c>
      <c r="I38" s="82">
        <f>0+'[1]táj.1'!I38</f>
        <v>0</v>
      </c>
      <c r="J38" s="82">
        <f>0+'[1]táj.1'!J38</f>
        <v>0</v>
      </c>
      <c r="K38" s="82">
        <f>0+'[1]táj.1'!K38</f>
        <v>0</v>
      </c>
      <c r="L38" s="82">
        <f>0+'[1]táj.1'!L38</f>
        <v>0</v>
      </c>
      <c r="M38" s="82">
        <f>0+'[1]táj.1'!M38</f>
        <v>0</v>
      </c>
      <c r="N38" s="82">
        <f>0+'[1]táj.1'!N38</f>
        <v>0</v>
      </c>
      <c r="O38" s="82">
        <f>SUM(E38:N38)</f>
        <v>248539</v>
      </c>
    </row>
    <row r="39" spans="1:15" s="81" customFormat="1" ht="12.75" customHeight="1">
      <c r="A39" s="83"/>
      <c r="B39" s="83"/>
      <c r="C39" s="103" t="s">
        <v>382</v>
      </c>
      <c r="D39" s="222"/>
      <c r="E39" s="84">
        <f aca="true" t="shared" si="2" ref="E39:O39">SUM(E25:E38)</f>
        <v>18382</v>
      </c>
      <c r="F39" s="84">
        <f t="shared" si="2"/>
        <v>0</v>
      </c>
      <c r="G39" s="84">
        <f t="shared" si="2"/>
        <v>0</v>
      </c>
      <c r="H39" s="84">
        <f t="shared" si="2"/>
        <v>480071</v>
      </c>
      <c r="I39" s="84">
        <f t="shared" si="2"/>
        <v>0</v>
      </c>
      <c r="J39" s="84">
        <f t="shared" si="2"/>
        <v>0</v>
      </c>
      <c r="K39" s="84">
        <f t="shared" si="2"/>
        <v>0</v>
      </c>
      <c r="L39" s="84">
        <f t="shared" si="2"/>
        <v>0</v>
      </c>
      <c r="M39" s="84">
        <f t="shared" si="2"/>
        <v>0</v>
      </c>
      <c r="N39" s="84">
        <f t="shared" si="2"/>
        <v>0</v>
      </c>
      <c r="O39" s="84">
        <f t="shared" si="2"/>
        <v>498453</v>
      </c>
    </row>
    <row r="40" spans="1:15" s="81" customFormat="1" ht="12.75" customHeight="1">
      <c r="A40" s="1">
        <v>1</v>
      </c>
      <c r="B40" s="1" t="s">
        <v>563</v>
      </c>
      <c r="C40" s="170" t="s">
        <v>692</v>
      </c>
      <c r="D40" s="1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5" s="81" customFormat="1" ht="27" customHeight="1">
      <c r="A41" s="1"/>
      <c r="B41" s="1"/>
      <c r="C41" s="95" t="s">
        <v>409</v>
      </c>
      <c r="D41" s="180"/>
      <c r="E41" s="178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5" s="81" customFormat="1" ht="26.25" customHeight="1">
      <c r="A42" s="1"/>
      <c r="B42" s="1"/>
      <c r="C42" s="102" t="s">
        <v>393</v>
      </c>
      <c r="D42" s="186">
        <v>161909</v>
      </c>
      <c r="E42" s="88">
        <f>0+'[1]táj.1'!E42</f>
        <v>0</v>
      </c>
      <c r="F42" s="88">
        <f>0+'[1]táj.1'!F42</f>
        <v>0</v>
      </c>
      <c r="G42" s="88">
        <f>0+'[1]táj.1'!G42</f>
        <v>0</v>
      </c>
      <c r="H42" s="88">
        <f>35418+'[1]táj.1'!H42</f>
        <v>35418</v>
      </c>
      <c r="I42" s="88">
        <f>0+'[1]táj.1'!I42</f>
        <v>0</v>
      </c>
      <c r="J42" s="88">
        <f>0+'[1]táj.1'!J42</f>
        <v>0</v>
      </c>
      <c r="K42" s="88">
        <f>0+'[1]táj.1'!K42</f>
        <v>0</v>
      </c>
      <c r="L42" s="88">
        <f>0+'[1]táj.1'!L42</f>
        <v>0</v>
      </c>
      <c r="M42" s="88">
        <f>0+'[1]táj.1'!M42</f>
        <v>0</v>
      </c>
      <c r="N42" s="88">
        <f>0+'[1]táj.1'!N42</f>
        <v>0</v>
      </c>
      <c r="O42" s="82">
        <f>SUM(E42:N42)</f>
        <v>35418</v>
      </c>
    </row>
    <row r="43" spans="1:15" s="81" customFormat="1" ht="13.5" customHeight="1">
      <c r="A43" s="1"/>
      <c r="B43" s="1"/>
      <c r="C43" s="102" t="s">
        <v>1090</v>
      </c>
      <c r="D43" s="186">
        <v>164106</v>
      </c>
      <c r="E43" s="88">
        <f>0+'[1]táj.1'!E43</f>
        <v>0</v>
      </c>
      <c r="F43" s="88">
        <f>0+'[1]táj.1'!F43</f>
        <v>0</v>
      </c>
      <c r="G43" s="88">
        <f>0+'[1]táj.1'!G43</f>
        <v>0</v>
      </c>
      <c r="H43" s="88">
        <f>420521+'[1]táj.1'!H43</f>
        <v>439036</v>
      </c>
      <c r="I43" s="88">
        <f>0+'[1]táj.1'!I43</f>
        <v>0</v>
      </c>
      <c r="J43" s="88">
        <f>0+'[1]táj.1'!J43</f>
        <v>0</v>
      </c>
      <c r="K43" s="88">
        <f>0+'[1]táj.1'!K43</f>
        <v>0</v>
      </c>
      <c r="L43" s="88">
        <f>0+'[1]táj.1'!L43</f>
        <v>0</v>
      </c>
      <c r="M43" s="88">
        <f>0+'[1]táj.1'!M43</f>
        <v>0</v>
      </c>
      <c r="N43" s="88">
        <f>0+'[1]táj.1'!N43</f>
        <v>0</v>
      </c>
      <c r="O43" s="82">
        <f>SUM(E43:N43)</f>
        <v>439036</v>
      </c>
    </row>
    <row r="44" spans="1:15" s="81" customFormat="1" ht="15" customHeight="1">
      <c r="A44" s="1"/>
      <c r="B44" s="1"/>
      <c r="C44" s="102" t="s">
        <v>1091</v>
      </c>
      <c r="D44" s="186">
        <v>164204</v>
      </c>
      <c r="E44" s="88">
        <f>0+'[1]táj.1'!E44</f>
        <v>0</v>
      </c>
      <c r="F44" s="88">
        <f>0+'[1]táj.1'!F44</f>
        <v>0</v>
      </c>
      <c r="G44" s="88">
        <f>0+'[1]táj.1'!G44</f>
        <v>0</v>
      </c>
      <c r="H44" s="88">
        <f>168506+'[1]táj.1'!H44</f>
        <v>176450</v>
      </c>
      <c r="I44" s="88">
        <f>0+'[1]táj.1'!I44</f>
        <v>0</v>
      </c>
      <c r="J44" s="88">
        <f>0+'[1]táj.1'!J44</f>
        <v>0</v>
      </c>
      <c r="K44" s="88">
        <f>0+'[1]táj.1'!K44</f>
        <v>0</v>
      </c>
      <c r="L44" s="88">
        <f>0+'[1]táj.1'!L44</f>
        <v>0</v>
      </c>
      <c r="M44" s="88">
        <f>0+'[1]táj.1'!M44</f>
        <v>0</v>
      </c>
      <c r="N44" s="88">
        <f>0+'[1]táj.1'!N44</f>
        <v>0</v>
      </c>
      <c r="O44" s="82">
        <f>SUM(E44:N44)</f>
        <v>176450</v>
      </c>
    </row>
    <row r="45" spans="1:15" s="81" customFormat="1" ht="35.25" customHeight="1">
      <c r="A45" s="1"/>
      <c r="B45" s="1"/>
      <c r="C45" s="629" t="s">
        <v>79</v>
      </c>
      <c r="D45" s="186">
        <v>164205</v>
      </c>
      <c r="E45" s="88">
        <f>13128+'[1]táj.1'!E45</f>
        <v>13128</v>
      </c>
      <c r="F45" s="88">
        <f>1650000+'[1]táj.1'!F45</f>
        <v>1650000</v>
      </c>
      <c r="G45" s="88">
        <f>0+'[1]táj.1'!G45</f>
        <v>0</v>
      </c>
      <c r="H45" s="88">
        <f>449045+'[1]táj.1'!H45</f>
        <v>449045</v>
      </c>
      <c r="I45" s="88">
        <f>0+'[1]táj.1'!I45</f>
        <v>0</v>
      </c>
      <c r="J45" s="88">
        <f>0+'[1]táj.1'!J45</f>
        <v>0</v>
      </c>
      <c r="K45" s="88">
        <f>0+'[1]táj.1'!K45</f>
        <v>0</v>
      </c>
      <c r="L45" s="88">
        <f>0+'[1]táj.1'!L45</f>
        <v>0</v>
      </c>
      <c r="M45" s="88">
        <f>0+'[1]táj.1'!M45</f>
        <v>0</v>
      </c>
      <c r="N45" s="88">
        <f>0+'[1]táj.1'!N45</f>
        <v>0</v>
      </c>
      <c r="O45" s="82">
        <f>SUM(E45:N45)</f>
        <v>2112173</v>
      </c>
    </row>
    <row r="46" spans="1:15" s="81" customFormat="1" ht="27" customHeight="1">
      <c r="A46" s="1"/>
      <c r="B46" s="1"/>
      <c r="C46" s="223" t="s">
        <v>985</v>
      </c>
      <c r="D46" s="630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2"/>
    </row>
    <row r="47" spans="1:15" s="81" customFormat="1" ht="27" customHeight="1">
      <c r="A47" s="1"/>
      <c r="B47" s="1"/>
      <c r="C47" s="223" t="s">
        <v>986</v>
      </c>
      <c r="D47" s="630">
        <v>163700</v>
      </c>
      <c r="E47" s="88">
        <f>41155+'[1]táj.1'!E47</f>
        <v>41155</v>
      </c>
      <c r="F47" s="88">
        <f>0+'[1]táj.1'!F47</f>
        <v>0</v>
      </c>
      <c r="G47" s="88">
        <f>0+'[1]táj.1'!G47</f>
        <v>0</v>
      </c>
      <c r="H47" s="88">
        <f>0+'[1]táj.1'!H47</f>
        <v>0</v>
      </c>
      <c r="I47" s="88">
        <f>0+'[1]táj.1'!I47</f>
        <v>0</v>
      </c>
      <c r="J47" s="88">
        <f>0+'[1]táj.1'!J47</f>
        <v>0</v>
      </c>
      <c r="K47" s="88">
        <f>0+'[1]táj.1'!K47</f>
        <v>0</v>
      </c>
      <c r="L47" s="88">
        <f>0+'[1]táj.1'!L47</f>
        <v>0</v>
      </c>
      <c r="M47" s="88">
        <f>0+'[1]táj.1'!M47</f>
        <v>0</v>
      </c>
      <c r="N47" s="88">
        <f>0+'[1]táj.1'!N47</f>
        <v>0</v>
      </c>
      <c r="O47" s="82">
        <f>SUM(E47:N47)</f>
        <v>41155</v>
      </c>
    </row>
    <row r="48" spans="1:15" s="81" customFormat="1" ht="30" customHeight="1">
      <c r="A48" s="1"/>
      <c r="B48" s="1"/>
      <c r="C48" s="95" t="s">
        <v>736</v>
      </c>
      <c r="D48" s="631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2"/>
    </row>
    <row r="49" spans="1:15" s="81" customFormat="1" ht="37.5" customHeight="1">
      <c r="A49" s="1"/>
      <c r="B49" s="1"/>
      <c r="C49" s="632" t="s">
        <v>362</v>
      </c>
      <c r="D49" s="631">
        <v>163622</v>
      </c>
      <c r="E49" s="88">
        <f>2862+'[1]táj.1'!E49</f>
        <v>2862</v>
      </c>
      <c r="F49" s="88">
        <f>0+'[1]táj.1'!F49</f>
        <v>0</v>
      </c>
      <c r="G49" s="88">
        <f>0+'[1]táj.1'!G49</f>
        <v>0</v>
      </c>
      <c r="H49" s="88">
        <f>0+'[1]táj.1'!H49</f>
        <v>0</v>
      </c>
      <c r="I49" s="88">
        <f>0+'[1]táj.1'!I49</f>
        <v>0</v>
      </c>
      <c r="J49" s="88">
        <f>0+'[1]táj.1'!J49</f>
        <v>0</v>
      </c>
      <c r="K49" s="88">
        <f>0+'[1]táj.1'!K49</f>
        <v>0</v>
      </c>
      <c r="L49" s="88">
        <f>0+'[1]táj.1'!L49</f>
        <v>0</v>
      </c>
      <c r="M49" s="88">
        <f>0+'[1]táj.1'!M49</f>
        <v>0</v>
      </c>
      <c r="N49" s="88">
        <f>0+'[1]táj.1'!N49</f>
        <v>0</v>
      </c>
      <c r="O49" s="82">
        <f aca="true" t="shared" si="3" ref="O49:O69">SUM(E49:N49)</f>
        <v>2862</v>
      </c>
    </row>
    <row r="50" spans="1:15" s="81" customFormat="1" ht="37.5" customHeight="1">
      <c r="A50" s="1"/>
      <c r="B50" s="1"/>
      <c r="C50" s="632" t="s">
        <v>360</v>
      </c>
      <c r="D50" s="631">
        <v>163623</v>
      </c>
      <c r="E50" s="88">
        <f>2908+'[1]táj.1'!E50</f>
        <v>2908</v>
      </c>
      <c r="F50" s="88">
        <f>0+'[1]táj.1'!F50</f>
        <v>0</v>
      </c>
      <c r="G50" s="88">
        <f>0+'[1]táj.1'!G50</f>
        <v>0</v>
      </c>
      <c r="H50" s="88">
        <f>0+'[1]táj.1'!H50</f>
        <v>0</v>
      </c>
      <c r="I50" s="88">
        <f>0+'[1]táj.1'!I50</f>
        <v>0</v>
      </c>
      <c r="J50" s="88">
        <f>0+'[1]táj.1'!J50</f>
        <v>0</v>
      </c>
      <c r="K50" s="88">
        <f>0+'[1]táj.1'!K50</f>
        <v>0</v>
      </c>
      <c r="L50" s="88">
        <f>0+'[1]táj.1'!L50</f>
        <v>0</v>
      </c>
      <c r="M50" s="88">
        <f>0+'[1]táj.1'!M50</f>
        <v>0</v>
      </c>
      <c r="N50" s="88">
        <f>0+'[1]táj.1'!N50</f>
        <v>0</v>
      </c>
      <c r="O50" s="82">
        <f t="shared" si="3"/>
        <v>2908</v>
      </c>
    </row>
    <row r="51" spans="1:15" s="81" customFormat="1" ht="22.5" customHeight="1">
      <c r="A51" s="1"/>
      <c r="B51" s="1"/>
      <c r="C51" s="633" t="s">
        <v>359</v>
      </c>
      <c r="D51" s="631">
        <v>163625</v>
      </c>
      <c r="E51" s="88">
        <f>87000+'[1]táj.1'!E51</f>
        <v>87000</v>
      </c>
      <c r="F51" s="88">
        <f>1001000+'[1]táj.1'!F51</f>
        <v>1001000</v>
      </c>
      <c r="G51" s="88">
        <f>0+'[1]táj.1'!G51</f>
        <v>0</v>
      </c>
      <c r="H51" s="88">
        <f>0+'[1]táj.1'!H51</f>
        <v>0</v>
      </c>
      <c r="I51" s="88">
        <f>0+'[1]táj.1'!I51</f>
        <v>0</v>
      </c>
      <c r="J51" s="88">
        <f>0+'[1]táj.1'!J51</f>
        <v>0</v>
      </c>
      <c r="K51" s="88">
        <f>0+'[1]táj.1'!K51</f>
        <v>0</v>
      </c>
      <c r="L51" s="88">
        <f>0+'[1]táj.1'!L51</f>
        <v>0</v>
      </c>
      <c r="M51" s="88">
        <f>0+'[1]táj.1'!M51</f>
        <v>0</v>
      </c>
      <c r="N51" s="88">
        <f>0+'[1]táj.1'!N51</f>
        <v>0</v>
      </c>
      <c r="O51" s="82">
        <f t="shared" si="3"/>
        <v>1088000</v>
      </c>
    </row>
    <row r="52" spans="1:15" s="81" customFormat="1" ht="22.5" customHeight="1">
      <c r="A52" s="1"/>
      <c r="B52" s="1"/>
      <c r="C52" s="223" t="s">
        <v>1093</v>
      </c>
      <c r="D52" s="631">
        <v>163626</v>
      </c>
      <c r="E52" s="88">
        <f>0+'[1]táj.1'!E52</f>
        <v>0</v>
      </c>
      <c r="F52" s="88">
        <f>0+'[1]táj.1'!F52</f>
        <v>0</v>
      </c>
      <c r="G52" s="88">
        <f>0+'[1]táj.1'!G52</f>
        <v>0</v>
      </c>
      <c r="H52" s="88">
        <f>82084+'[1]táj.1'!H52</f>
        <v>82084</v>
      </c>
      <c r="I52" s="88">
        <f>0+'[1]táj.1'!I52</f>
        <v>0</v>
      </c>
      <c r="J52" s="88">
        <f>0+'[1]táj.1'!J52</f>
        <v>0</v>
      </c>
      <c r="K52" s="88">
        <f>0+'[1]táj.1'!K52</f>
        <v>0</v>
      </c>
      <c r="L52" s="88">
        <f>0+'[1]táj.1'!L52</f>
        <v>0</v>
      </c>
      <c r="M52" s="88">
        <f>0+'[1]táj.1'!M52</f>
        <v>0</v>
      </c>
      <c r="N52" s="88">
        <f>0+'[1]táj.1'!N52</f>
        <v>0</v>
      </c>
      <c r="O52" s="82">
        <f t="shared" si="3"/>
        <v>82084</v>
      </c>
    </row>
    <row r="53" spans="1:15" s="81" customFormat="1" ht="37.5" customHeight="1">
      <c r="A53" s="1"/>
      <c r="B53" s="1"/>
      <c r="C53" s="634" t="s">
        <v>1062</v>
      </c>
      <c r="D53" s="635">
        <v>163627</v>
      </c>
      <c r="E53" s="88">
        <f>23962+'[1]táj.1'!E53</f>
        <v>23962</v>
      </c>
      <c r="F53" s="88">
        <f>712460+'[1]táj.1'!F53</f>
        <v>712460</v>
      </c>
      <c r="G53" s="88">
        <f>0+'[1]táj.1'!G53</f>
        <v>0</v>
      </c>
      <c r="H53" s="88">
        <f>0+'[1]táj.1'!H53</f>
        <v>0</v>
      </c>
      <c r="I53" s="88">
        <f>0+'[1]táj.1'!I53</f>
        <v>0</v>
      </c>
      <c r="J53" s="88">
        <f>0+'[1]táj.1'!J53</f>
        <v>0</v>
      </c>
      <c r="K53" s="88">
        <f>0+'[1]táj.1'!K53</f>
        <v>0</v>
      </c>
      <c r="L53" s="88">
        <f>0+'[1]táj.1'!L53</f>
        <v>0</v>
      </c>
      <c r="M53" s="88">
        <f>0+'[1]táj.1'!M53</f>
        <v>0</v>
      </c>
      <c r="N53" s="88">
        <f>0+'[1]táj.1'!N53</f>
        <v>0</v>
      </c>
      <c r="O53" s="82">
        <f t="shared" si="3"/>
        <v>736422</v>
      </c>
    </row>
    <row r="54" spans="1:15" s="81" customFormat="1" ht="27" customHeight="1">
      <c r="A54" s="1"/>
      <c r="B54" s="1"/>
      <c r="C54" s="634" t="s">
        <v>839</v>
      </c>
      <c r="D54" s="635">
        <v>163629</v>
      </c>
      <c r="E54" s="88">
        <f>0+'[1]táj.1'!E54</f>
        <v>0</v>
      </c>
      <c r="F54" s="88">
        <f>0+'[1]táj.1'!F54</f>
        <v>0</v>
      </c>
      <c r="G54" s="88">
        <f>0+'[1]táj.1'!G54</f>
        <v>0</v>
      </c>
      <c r="H54" s="88">
        <f>360470+'[1]táj.1'!H54</f>
        <v>360470</v>
      </c>
      <c r="I54" s="88">
        <f>0+'[1]táj.1'!I54</f>
        <v>0</v>
      </c>
      <c r="J54" s="88">
        <f>0+'[1]táj.1'!J54</f>
        <v>0</v>
      </c>
      <c r="K54" s="88">
        <f>0+'[1]táj.1'!K54</f>
        <v>0</v>
      </c>
      <c r="L54" s="88">
        <f>0+'[1]táj.1'!L54</f>
        <v>0</v>
      </c>
      <c r="M54" s="88">
        <f>0+'[1]táj.1'!M54</f>
        <v>0</v>
      </c>
      <c r="N54" s="88">
        <f>0+'[1]táj.1'!N54</f>
        <v>0</v>
      </c>
      <c r="O54" s="82">
        <f t="shared" si="3"/>
        <v>360470</v>
      </c>
    </row>
    <row r="55" spans="1:15" s="81" customFormat="1" ht="41.25" customHeight="1">
      <c r="A55" s="1"/>
      <c r="B55" s="1"/>
      <c r="C55" s="636" t="s">
        <v>664</v>
      </c>
      <c r="D55" s="635">
        <v>163628</v>
      </c>
      <c r="E55" s="88">
        <f>0+'[1]táj.1'!E55</f>
        <v>0</v>
      </c>
      <c r="F55" s="88">
        <f>0+'[1]táj.1'!F55</f>
        <v>0</v>
      </c>
      <c r="G55" s="88">
        <f>0+'[1]táj.1'!G55</f>
        <v>0</v>
      </c>
      <c r="H55" s="88">
        <f>153551+'[1]táj.1'!H55</f>
        <v>153551</v>
      </c>
      <c r="I55" s="88">
        <f>0+'[1]táj.1'!I55</f>
        <v>0</v>
      </c>
      <c r="J55" s="88">
        <f>0+'[1]táj.1'!J55</f>
        <v>0</v>
      </c>
      <c r="K55" s="88">
        <f>0+'[1]táj.1'!K55</f>
        <v>0</v>
      </c>
      <c r="L55" s="88">
        <f>0+'[1]táj.1'!L55</f>
        <v>0</v>
      </c>
      <c r="M55" s="88">
        <f>0+'[1]táj.1'!M55</f>
        <v>0</v>
      </c>
      <c r="N55" s="88">
        <f>0+'[1]táj.1'!N55</f>
        <v>0</v>
      </c>
      <c r="O55" s="82">
        <f t="shared" si="3"/>
        <v>153551</v>
      </c>
    </row>
    <row r="56" spans="1:15" s="81" customFormat="1" ht="41.25" customHeight="1">
      <c r="A56" s="1"/>
      <c r="B56" s="1"/>
      <c r="C56" s="637" t="s">
        <v>80</v>
      </c>
      <c r="D56" s="635">
        <v>163610</v>
      </c>
      <c r="E56" s="88">
        <f>0+'[1]táj.1'!E56</f>
        <v>0</v>
      </c>
      <c r="F56" s="88">
        <f>12700+'[1]táj.1'!F56</f>
        <v>12700</v>
      </c>
      <c r="G56" s="88">
        <f>0+'[1]táj.1'!G56</f>
        <v>0</v>
      </c>
      <c r="H56" s="88">
        <f>0+'[1]táj.1'!H56</f>
        <v>0</v>
      </c>
      <c r="I56" s="88">
        <f>0+'[1]táj.1'!I56</f>
        <v>0</v>
      </c>
      <c r="J56" s="88">
        <f>0+'[1]táj.1'!J56</f>
        <v>0</v>
      </c>
      <c r="K56" s="88">
        <f>0+'[1]táj.1'!K56</f>
        <v>0</v>
      </c>
      <c r="L56" s="88">
        <f>0+'[1]táj.1'!L56</f>
        <v>0</v>
      </c>
      <c r="M56" s="88">
        <f>0+'[1]táj.1'!M56</f>
        <v>0</v>
      </c>
      <c r="N56" s="88">
        <f>0+'[1]táj.1'!N56</f>
        <v>0</v>
      </c>
      <c r="O56" s="82">
        <f t="shared" si="3"/>
        <v>12700</v>
      </c>
    </row>
    <row r="57" spans="1:15" s="81" customFormat="1" ht="41.25" customHeight="1">
      <c r="A57" s="1"/>
      <c r="B57" s="1"/>
      <c r="C57" s="638" t="s">
        <v>81</v>
      </c>
      <c r="D57" s="635">
        <v>163612</v>
      </c>
      <c r="E57" s="88">
        <f>0+'[1]táj.1'!E57</f>
        <v>0</v>
      </c>
      <c r="F57" s="88">
        <f>0+'[1]táj.1'!F57</f>
        <v>0</v>
      </c>
      <c r="G57" s="88">
        <f>0+'[1]táj.1'!G57</f>
        <v>0</v>
      </c>
      <c r="H57" s="88">
        <f>56035+'[1]táj.1'!H57</f>
        <v>56035</v>
      </c>
      <c r="I57" s="88">
        <f>0+'[1]táj.1'!I57</f>
        <v>0</v>
      </c>
      <c r="J57" s="88">
        <f>0+'[1]táj.1'!J57</f>
        <v>0</v>
      </c>
      <c r="K57" s="88">
        <f>0+'[1]táj.1'!K57</f>
        <v>0</v>
      </c>
      <c r="L57" s="88">
        <f>0+'[1]táj.1'!L57</f>
        <v>0</v>
      </c>
      <c r="M57" s="88">
        <f>0+'[1]táj.1'!M57</f>
        <v>0</v>
      </c>
      <c r="N57" s="88">
        <f>0+'[1]táj.1'!N57</f>
        <v>0</v>
      </c>
      <c r="O57" s="82">
        <f t="shared" si="3"/>
        <v>56035</v>
      </c>
    </row>
    <row r="58" spans="1:15" s="81" customFormat="1" ht="41.25" customHeight="1">
      <c r="A58" s="1"/>
      <c r="B58" s="1"/>
      <c r="C58" s="638" t="s">
        <v>82</v>
      </c>
      <c r="D58" s="635">
        <v>163613</v>
      </c>
      <c r="E58" s="88">
        <f>0+'[1]táj.1'!E58</f>
        <v>0</v>
      </c>
      <c r="F58" s="88">
        <f>0+'[1]táj.1'!F58</f>
        <v>0</v>
      </c>
      <c r="G58" s="88">
        <f>0+'[1]táj.1'!G58</f>
        <v>0</v>
      </c>
      <c r="H58" s="88">
        <f>44170+'[1]táj.1'!H58</f>
        <v>44170</v>
      </c>
      <c r="I58" s="88">
        <f>0+'[1]táj.1'!I58</f>
        <v>0</v>
      </c>
      <c r="J58" s="88">
        <f>0+'[1]táj.1'!J58</f>
        <v>0</v>
      </c>
      <c r="K58" s="88">
        <f>0+'[1]táj.1'!K58</f>
        <v>0</v>
      </c>
      <c r="L58" s="88">
        <f>0+'[1]táj.1'!L58</f>
        <v>0</v>
      </c>
      <c r="M58" s="88">
        <f>0+'[1]táj.1'!M58</f>
        <v>0</v>
      </c>
      <c r="N58" s="88">
        <f>0+'[1]táj.1'!N58</f>
        <v>0</v>
      </c>
      <c r="O58" s="82">
        <f t="shared" si="3"/>
        <v>44170</v>
      </c>
    </row>
    <row r="59" spans="1:15" s="81" customFormat="1" ht="50.25" customHeight="1">
      <c r="A59" s="1"/>
      <c r="B59" s="1"/>
      <c r="C59" s="223" t="s">
        <v>83</v>
      </c>
      <c r="D59" s="635">
        <v>163637</v>
      </c>
      <c r="E59" s="88">
        <f>21334+'[1]táj.1'!E59</f>
        <v>21334</v>
      </c>
      <c r="F59" s="88">
        <f>261016+'[1]táj.1'!F59</f>
        <v>261016</v>
      </c>
      <c r="G59" s="88">
        <f>0+'[1]táj.1'!G59</f>
        <v>0</v>
      </c>
      <c r="H59" s="88">
        <f>76235+'[1]táj.1'!H59</f>
        <v>76235</v>
      </c>
      <c r="I59" s="88">
        <f>0+'[1]táj.1'!I59</f>
        <v>0</v>
      </c>
      <c r="J59" s="88">
        <f>0+'[1]táj.1'!J59</f>
        <v>0</v>
      </c>
      <c r="K59" s="88">
        <f>0+'[1]táj.1'!K59</f>
        <v>0</v>
      </c>
      <c r="L59" s="88">
        <f>0+'[1]táj.1'!L59</f>
        <v>0</v>
      </c>
      <c r="M59" s="88">
        <f>0+'[1]táj.1'!M59</f>
        <v>0</v>
      </c>
      <c r="N59" s="88">
        <f>0+'[1]táj.1'!N59</f>
        <v>0</v>
      </c>
      <c r="O59" s="82">
        <f t="shared" si="3"/>
        <v>358585</v>
      </c>
    </row>
    <row r="60" spans="1:15" s="81" customFormat="1" ht="38.25">
      <c r="A60" s="1"/>
      <c r="B60" s="1"/>
      <c r="C60" s="639" t="s">
        <v>1095</v>
      </c>
      <c r="D60" s="630">
        <v>163621</v>
      </c>
      <c r="E60" s="88">
        <f>0+'[1]táj.1'!E60</f>
        <v>0</v>
      </c>
      <c r="F60" s="88">
        <f>0+'[1]táj.1'!F60</f>
        <v>0</v>
      </c>
      <c r="G60" s="88">
        <f>0+'[1]táj.1'!G60</f>
        <v>0</v>
      </c>
      <c r="H60" s="88">
        <f>65858+'[1]táj.1'!H60</f>
        <v>65858</v>
      </c>
      <c r="I60" s="88">
        <f>0+'[1]táj.1'!I60</f>
        <v>0</v>
      </c>
      <c r="J60" s="88">
        <f>0+'[1]táj.1'!J60</f>
        <v>0</v>
      </c>
      <c r="K60" s="88">
        <f>0+'[1]táj.1'!K60</f>
        <v>0</v>
      </c>
      <c r="L60" s="88">
        <f>0+'[1]táj.1'!L60</f>
        <v>0</v>
      </c>
      <c r="M60" s="88">
        <f>0+'[1]táj.1'!M60</f>
        <v>0</v>
      </c>
      <c r="N60" s="88">
        <f>0+'[1]táj.1'!N60</f>
        <v>0</v>
      </c>
      <c r="O60" s="82">
        <f t="shared" si="3"/>
        <v>65858</v>
      </c>
    </row>
    <row r="61" spans="1:15" s="81" customFormat="1" ht="28.5" customHeight="1">
      <c r="A61" s="1"/>
      <c r="B61" s="1"/>
      <c r="C61" s="640" t="s">
        <v>665</v>
      </c>
      <c r="D61" s="630">
        <v>162687</v>
      </c>
      <c r="E61" s="88">
        <f>0+'[1]táj.1'!E61</f>
        <v>0</v>
      </c>
      <c r="F61" s="88">
        <f>2163170+'[1]táj.1'!F61</f>
        <v>2163170</v>
      </c>
      <c r="G61" s="88">
        <f>0+'[1]táj.1'!G61</f>
        <v>0</v>
      </c>
      <c r="H61" s="88">
        <f>1494966+'[1]táj.1'!H61</f>
        <v>1494966</v>
      </c>
      <c r="I61" s="88">
        <f>0+'[1]táj.1'!I61</f>
        <v>0</v>
      </c>
      <c r="J61" s="88">
        <f>0+'[1]táj.1'!J61</f>
        <v>0</v>
      </c>
      <c r="K61" s="88">
        <f>0+'[1]táj.1'!K61</f>
        <v>0</v>
      </c>
      <c r="L61" s="88">
        <f>0+'[1]táj.1'!L61</f>
        <v>0</v>
      </c>
      <c r="M61" s="88">
        <f>0+'[1]táj.1'!M61</f>
        <v>0</v>
      </c>
      <c r="N61" s="88">
        <f>0+'[1]táj.1'!N61</f>
        <v>0</v>
      </c>
      <c r="O61" s="82">
        <f t="shared" si="3"/>
        <v>3658136</v>
      </c>
    </row>
    <row r="62" spans="1:15" s="81" customFormat="1" ht="29.25" customHeight="1">
      <c r="A62" s="1"/>
      <c r="B62" s="1"/>
      <c r="C62" s="223" t="s">
        <v>666</v>
      </c>
      <c r="D62" s="630">
        <v>163702</v>
      </c>
      <c r="E62" s="88">
        <f>0+'[1]táj.1'!E62</f>
        <v>0</v>
      </c>
      <c r="F62" s="88">
        <f>0+'[1]táj.1'!F62</f>
        <v>0</v>
      </c>
      <c r="G62" s="88">
        <f>0+'[1]táj.1'!G62</f>
        <v>0</v>
      </c>
      <c r="H62" s="88">
        <f>351997+'[1]táj.1'!H62</f>
        <v>351997</v>
      </c>
      <c r="I62" s="88">
        <f>0+'[1]táj.1'!I62</f>
        <v>0</v>
      </c>
      <c r="J62" s="88">
        <f>0+'[1]táj.1'!J62</f>
        <v>0</v>
      </c>
      <c r="K62" s="88">
        <f>0+'[1]táj.1'!K62</f>
        <v>0</v>
      </c>
      <c r="L62" s="88">
        <f>0+'[1]táj.1'!L62</f>
        <v>0</v>
      </c>
      <c r="M62" s="88">
        <f>0+'[1]táj.1'!M62</f>
        <v>0</v>
      </c>
      <c r="N62" s="88">
        <f>0+'[1]táj.1'!N62</f>
        <v>0</v>
      </c>
      <c r="O62" s="82">
        <f t="shared" si="3"/>
        <v>351997</v>
      </c>
    </row>
    <row r="63" spans="1:15" s="81" customFormat="1" ht="27.75" customHeight="1">
      <c r="A63" s="1"/>
      <c r="B63" s="1"/>
      <c r="C63" s="223" t="s">
        <v>1099</v>
      </c>
      <c r="D63" s="630">
        <v>163641</v>
      </c>
      <c r="E63" s="88">
        <f>0+'[1]táj.1'!E63</f>
        <v>0</v>
      </c>
      <c r="F63" s="88">
        <f>255358+'[1]táj.1'!F63</f>
        <v>255358</v>
      </c>
      <c r="G63" s="88">
        <f>0+'[1]táj.1'!G63</f>
        <v>0</v>
      </c>
      <c r="H63" s="88">
        <f>0+'[1]táj.1'!H63</f>
        <v>0</v>
      </c>
      <c r="I63" s="88">
        <f>0+'[1]táj.1'!I63</f>
        <v>0</v>
      </c>
      <c r="J63" s="88">
        <f>0+'[1]táj.1'!J63</f>
        <v>0</v>
      </c>
      <c r="K63" s="88">
        <f>0+'[1]táj.1'!K63</f>
        <v>0</v>
      </c>
      <c r="L63" s="88">
        <f>0+'[1]táj.1'!L63</f>
        <v>0</v>
      </c>
      <c r="M63" s="88">
        <f>0+'[1]táj.1'!M63</f>
        <v>0</v>
      </c>
      <c r="N63" s="88">
        <f>0+'[1]táj.1'!N63</f>
        <v>0</v>
      </c>
      <c r="O63" s="82">
        <f t="shared" si="3"/>
        <v>255358</v>
      </c>
    </row>
    <row r="64" spans="1:15" s="81" customFormat="1" ht="25.5" customHeight="1">
      <c r="A64" s="1"/>
      <c r="B64" s="1"/>
      <c r="C64" s="641" t="s">
        <v>84</v>
      </c>
      <c r="D64" s="630">
        <v>162630</v>
      </c>
      <c r="E64" s="88">
        <f>0+'[1]táj.1'!E64</f>
        <v>0</v>
      </c>
      <c r="F64" s="88">
        <f>200000+'[1]táj.1'!F64</f>
        <v>200000</v>
      </c>
      <c r="G64" s="88">
        <f>0+'[1]táj.1'!G64</f>
        <v>0</v>
      </c>
      <c r="H64" s="88">
        <f>0+'[1]táj.1'!H64</f>
        <v>9050</v>
      </c>
      <c r="I64" s="88">
        <f>0+'[1]táj.1'!I64</f>
        <v>0</v>
      </c>
      <c r="J64" s="88">
        <f>0+'[1]táj.1'!J64</f>
        <v>0</v>
      </c>
      <c r="K64" s="88">
        <f>0+'[1]táj.1'!K64</f>
        <v>0</v>
      </c>
      <c r="L64" s="88">
        <f>0+'[1]táj.1'!L64</f>
        <v>0</v>
      </c>
      <c r="M64" s="88">
        <f>0+'[1]táj.1'!M64</f>
        <v>0</v>
      </c>
      <c r="N64" s="88">
        <f>0+'[1]táj.1'!N64</f>
        <v>0</v>
      </c>
      <c r="O64" s="82">
        <f t="shared" si="3"/>
        <v>209050</v>
      </c>
    </row>
    <row r="65" spans="1:15" s="81" customFormat="1" ht="27.75" customHeight="1">
      <c r="A65" s="1"/>
      <c r="B65" s="1"/>
      <c r="C65" s="642" t="s">
        <v>1092</v>
      </c>
      <c r="D65" s="630">
        <v>162944</v>
      </c>
      <c r="E65" s="88">
        <f>0+'[1]táj.1'!E65</f>
        <v>0</v>
      </c>
      <c r="F65" s="88">
        <f>0+'[1]táj.1'!F65</f>
        <v>0</v>
      </c>
      <c r="G65" s="88">
        <f>0+'[1]táj.1'!G65</f>
        <v>0</v>
      </c>
      <c r="H65" s="88">
        <f>117588+'[1]táj.1'!H65</f>
        <v>117588</v>
      </c>
      <c r="I65" s="88">
        <f>0+'[1]táj.1'!I65</f>
        <v>0</v>
      </c>
      <c r="J65" s="88">
        <f>0+'[1]táj.1'!J65</f>
        <v>0</v>
      </c>
      <c r="K65" s="88">
        <f>0+'[1]táj.1'!K65</f>
        <v>0</v>
      </c>
      <c r="L65" s="88">
        <f>0+'[1]táj.1'!L65</f>
        <v>0</v>
      </c>
      <c r="M65" s="88">
        <f>0+'[1]táj.1'!M65</f>
        <v>0</v>
      </c>
      <c r="N65" s="88">
        <f>0+'[1]táj.1'!N65</f>
        <v>0</v>
      </c>
      <c r="O65" s="82">
        <f t="shared" si="3"/>
        <v>117588</v>
      </c>
    </row>
    <row r="66" spans="1:15" s="81" customFormat="1" ht="40.5" customHeight="1">
      <c r="A66" s="1"/>
      <c r="B66" s="1"/>
      <c r="C66" s="643" t="s">
        <v>705</v>
      </c>
      <c r="D66" s="630">
        <v>162606</v>
      </c>
      <c r="E66" s="88">
        <f>28785+'[1]táj.1'!E66</f>
        <v>28785</v>
      </c>
      <c r="F66" s="88">
        <f>18245+'[1]táj.1'!F66</f>
        <v>18245</v>
      </c>
      <c r="G66" s="88">
        <f>0+'[1]táj.1'!G66</f>
        <v>0</v>
      </c>
      <c r="H66" s="88">
        <f>0+'[1]táj.1'!H66</f>
        <v>0</v>
      </c>
      <c r="I66" s="88">
        <f>0+'[1]táj.1'!I66</f>
        <v>0</v>
      </c>
      <c r="J66" s="88">
        <f>0+'[1]táj.1'!J66</f>
        <v>0</v>
      </c>
      <c r="K66" s="88">
        <f>0+'[1]táj.1'!K66</f>
        <v>0</v>
      </c>
      <c r="L66" s="88">
        <f>0+'[1]táj.1'!L66</f>
        <v>0</v>
      </c>
      <c r="M66" s="88">
        <f>0+'[1]táj.1'!M66</f>
        <v>0</v>
      </c>
      <c r="N66" s="88">
        <f>0+'[1]táj.1'!N66</f>
        <v>0</v>
      </c>
      <c r="O66" s="82">
        <f t="shared" si="3"/>
        <v>47030</v>
      </c>
    </row>
    <row r="67" spans="1:15" s="81" customFormat="1" ht="25.5">
      <c r="A67" s="1"/>
      <c r="B67" s="1"/>
      <c r="C67" s="643" t="s">
        <v>78</v>
      </c>
      <c r="D67" s="630">
        <v>163643</v>
      </c>
      <c r="E67" s="88">
        <f>4476+'[1]táj.1'!E67</f>
        <v>4476</v>
      </c>
      <c r="F67" s="88">
        <f>506+'[1]táj.1'!F67</f>
        <v>506</v>
      </c>
      <c r="G67" s="88">
        <f>0+'[1]táj.1'!G67</f>
        <v>0</v>
      </c>
      <c r="H67" s="88">
        <f>0+'[1]táj.1'!H67</f>
        <v>0</v>
      </c>
      <c r="I67" s="88">
        <f>0+'[1]táj.1'!I67</f>
        <v>0</v>
      </c>
      <c r="J67" s="88">
        <f>0+'[1]táj.1'!J67</f>
        <v>0</v>
      </c>
      <c r="K67" s="88">
        <f>0+'[1]táj.1'!K67</f>
        <v>0</v>
      </c>
      <c r="L67" s="88">
        <f>0+'[1]táj.1'!L67</f>
        <v>0</v>
      </c>
      <c r="M67" s="88">
        <f>0+'[1]táj.1'!M67</f>
        <v>0</v>
      </c>
      <c r="N67" s="88">
        <f>0+'[1]táj.1'!N67</f>
        <v>0</v>
      </c>
      <c r="O67" s="82">
        <f t="shared" si="3"/>
        <v>4982</v>
      </c>
    </row>
    <row r="68" spans="1:15" s="81" customFormat="1" ht="25.5">
      <c r="A68" s="1"/>
      <c r="B68" s="1"/>
      <c r="C68" s="223" t="s">
        <v>762</v>
      </c>
      <c r="D68" s="630">
        <v>162695</v>
      </c>
      <c r="E68" s="88">
        <f>0+'[1]táj.1'!E68</f>
        <v>3200</v>
      </c>
      <c r="F68" s="88">
        <f>0+'[1]táj.1'!F68</f>
        <v>0</v>
      </c>
      <c r="G68" s="88">
        <f>0+'[1]táj.1'!G68</f>
        <v>0</v>
      </c>
      <c r="H68" s="88">
        <f>0+'[1]táj.1'!H68</f>
        <v>0</v>
      </c>
      <c r="I68" s="88">
        <f>0+'[1]táj.1'!I68</f>
        <v>0</v>
      </c>
      <c r="J68" s="88">
        <f>0+'[1]táj.1'!J68</f>
        <v>0</v>
      </c>
      <c r="K68" s="88">
        <f>0+'[1]táj.1'!K68</f>
        <v>0</v>
      </c>
      <c r="L68" s="88">
        <f>0+'[1]táj.1'!L68</f>
        <v>0</v>
      </c>
      <c r="M68" s="88">
        <f>0+'[1]táj.1'!M68</f>
        <v>0</v>
      </c>
      <c r="N68" s="88">
        <f>0+'[1]táj.1'!N68</f>
        <v>0</v>
      </c>
      <c r="O68" s="82">
        <f t="shared" si="3"/>
        <v>3200</v>
      </c>
    </row>
    <row r="69" spans="1:15" s="81" customFormat="1" ht="25.5">
      <c r="A69" s="1"/>
      <c r="B69" s="1"/>
      <c r="C69" s="223" t="s">
        <v>763</v>
      </c>
      <c r="D69" s="630">
        <v>162640</v>
      </c>
      <c r="E69" s="88">
        <f>0+'[1]táj.1'!E69</f>
        <v>0</v>
      </c>
      <c r="F69" s="88">
        <f>0+'[1]táj.1'!F69</f>
        <v>0</v>
      </c>
      <c r="G69" s="88">
        <f>0+'[1]táj.1'!G69</f>
        <v>0</v>
      </c>
      <c r="H69" s="88">
        <f>0+'[1]táj.1'!H69</f>
        <v>0</v>
      </c>
      <c r="I69" s="88">
        <f>0+'[1]táj.1'!I69</f>
        <v>0</v>
      </c>
      <c r="J69" s="88">
        <f>0+'[1]táj.1'!J69</f>
        <v>0</v>
      </c>
      <c r="K69" s="88">
        <f>0+'[1]táj.1'!K69</f>
        <v>190500</v>
      </c>
      <c r="L69" s="88">
        <f>0+'[1]táj.1'!L69</f>
        <v>0</v>
      </c>
      <c r="M69" s="88">
        <f>0+'[1]táj.1'!M69</f>
        <v>0</v>
      </c>
      <c r="N69" s="88">
        <f>0+'[1]táj.1'!N69</f>
        <v>0</v>
      </c>
      <c r="O69" s="82">
        <f t="shared" si="3"/>
        <v>190500</v>
      </c>
    </row>
    <row r="70" spans="1:15" s="81" customFormat="1" ht="12.75" customHeight="1">
      <c r="A70" s="83"/>
      <c r="B70" s="83"/>
      <c r="C70" s="103" t="s">
        <v>634</v>
      </c>
      <c r="D70" s="83"/>
      <c r="E70" s="84">
        <f aca="true" t="shared" si="4" ref="E70:O70">SUM(E41:E69)</f>
        <v>228810</v>
      </c>
      <c r="F70" s="84">
        <f t="shared" si="4"/>
        <v>6274455</v>
      </c>
      <c r="G70" s="84">
        <f t="shared" si="4"/>
        <v>0</v>
      </c>
      <c r="H70" s="84">
        <f t="shared" si="4"/>
        <v>3911953</v>
      </c>
      <c r="I70" s="84">
        <f t="shared" si="4"/>
        <v>0</v>
      </c>
      <c r="J70" s="84">
        <f t="shared" si="4"/>
        <v>0</v>
      </c>
      <c r="K70" s="84">
        <f t="shared" si="4"/>
        <v>190500</v>
      </c>
      <c r="L70" s="84">
        <f t="shared" si="4"/>
        <v>0</v>
      </c>
      <c r="M70" s="84">
        <f t="shared" si="4"/>
        <v>0</v>
      </c>
      <c r="N70" s="84">
        <f t="shared" si="4"/>
        <v>0</v>
      </c>
      <c r="O70" s="84">
        <f t="shared" si="4"/>
        <v>10605718</v>
      </c>
    </row>
    <row r="71" spans="1:15" s="81" customFormat="1" ht="12.75" customHeight="1">
      <c r="A71" s="1">
        <v>1</v>
      </c>
      <c r="B71" s="1">
        <v>17</v>
      </c>
      <c r="C71" s="170" t="s">
        <v>862</v>
      </c>
      <c r="D71" s="181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s="81" customFormat="1" ht="24" customHeight="1">
      <c r="A72" s="1"/>
      <c r="B72" s="1"/>
      <c r="C72" s="95" t="s">
        <v>736</v>
      </c>
      <c r="D72" s="180"/>
      <c r="E72" s="105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s="81" customFormat="1" ht="13.5" customHeight="1">
      <c r="A73" s="1"/>
      <c r="B73" s="1"/>
      <c r="C73" s="101" t="s">
        <v>564</v>
      </c>
      <c r="D73" s="188">
        <v>171907</v>
      </c>
      <c r="E73" s="82">
        <f>0+'[1]táj.1'!E73</f>
        <v>0</v>
      </c>
      <c r="F73" s="82">
        <f>0+'[1]táj.1'!F73</f>
        <v>0</v>
      </c>
      <c r="G73" s="82">
        <f>0+'[1]táj.1'!G73</f>
        <v>0</v>
      </c>
      <c r="H73" s="82">
        <f>39978+'[1]táj.1'!H73</f>
        <v>39978</v>
      </c>
      <c r="I73" s="82">
        <f>166326+'[1]táj.1'!I73</f>
        <v>166326</v>
      </c>
      <c r="J73" s="82">
        <f>0+'[1]táj.1'!J73</f>
        <v>0</v>
      </c>
      <c r="K73" s="82">
        <f>0+'[1]táj.1'!K73</f>
        <v>0</v>
      </c>
      <c r="L73" s="82">
        <f>0+'[1]táj.1'!L73</f>
        <v>0</v>
      </c>
      <c r="M73" s="82">
        <f>0+'[1]táj.1'!M73</f>
        <v>0</v>
      </c>
      <c r="N73" s="82">
        <f>0+'[1]táj.1'!N73</f>
        <v>0</v>
      </c>
      <c r="O73" s="82">
        <f>SUM(E73:N73)</f>
        <v>206304</v>
      </c>
    </row>
    <row r="74" spans="1:15" s="81" customFormat="1" ht="26.25" customHeight="1">
      <c r="A74" s="1"/>
      <c r="B74" s="1"/>
      <c r="C74" s="102" t="s">
        <v>37</v>
      </c>
      <c r="D74" s="188">
        <v>171975</v>
      </c>
      <c r="E74" s="82">
        <f>0+'[1]táj.1'!E74</f>
        <v>0</v>
      </c>
      <c r="F74" s="82">
        <f>0+'[1]táj.1'!F74</f>
        <v>0</v>
      </c>
      <c r="G74" s="82">
        <f>0+'[1]táj.1'!G74</f>
        <v>0</v>
      </c>
      <c r="H74" s="82">
        <f>6442+'[1]táj.1'!H74</f>
        <v>6442</v>
      </c>
      <c r="I74" s="82">
        <f>23860+'[1]táj.1'!I74</f>
        <v>23860</v>
      </c>
      <c r="J74" s="82">
        <f>0+'[1]táj.1'!J74</f>
        <v>0</v>
      </c>
      <c r="K74" s="82">
        <f>0+'[1]táj.1'!K74</f>
        <v>0</v>
      </c>
      <c r="L74" s="82">
        <f>0+'[1]táj.1'!L74</f>
        <v>0</v>
      </c>
      <c r="M74" s="82">
        <f>0+'[1]táj.1'!M74</f>
        <v>0</v>
      </c>
      <c r="N74" s="82">
        <f>0+'[1]táj.1'!N74</f>
        <v>0</v>
      </c>
      <c r="O74" s="82">
        <f>SUM(E74:N74)</f>
        <v>30302</v>
      </c>
    </row>
    <row r="75" spans="1:15" s="81" customFormat="1" ht="24.75" customHeight="1">
      <c r="A75" s="1"/>
      <c r="B75" s="1"/>
      <c r="C75" s="102" t="s">
        <v>394</v>
      </c>
      <c r="D75" s="188">
        <v>171972</v>
      </c>
      <c r="E75" s="82">
        <f>0+'[1]táj.1'!E75</f>
        <v>0</v>
      </c>
      <c r="F75" s="82">
        <f>0+'[1]táj.1'!F75</f>
        <v>0</v>
      </c>
      <c r="G75" s="82">
        <f>0+'[1]táj.1'!G75</f>
        <v>0</v>
      </c>
      <c r="H75" s="82">
        <f>9864+'[1]táj.1'!H75</f>
        <v>9864</v>
      </c>
      <c r="I75" s="82">
        <f>36534+'[1]táj.1'!I75</f>
        <v>36534</v>
      </c>
      <c r="J75" s="82">
        <f>0+'[1]táj.1'!J75</f>
        <v>0</v>
      </c>
      <c r="K75" s="82">
        <f>0+'[1]táj.1'!K75</f>
        <v>0</v>
      </c>
      <c r="L75" s="82">
        <f>0+'[1]táj.1'!L75</f>
        <v>0</v>
      </c>
      <c r="M75" s="82">
        <f>0+'[1]táj.1'!M75</f>
        <v>0</v>
      </c>
      <c r="N75" s="82">
        <f>0+'[1]táj.1'!N75</f>
        <v>0</v>
      </c>
      <c r="O75" s="82">
        <f>SUM(E75:N75)</f>
        <v>46398</v>
      </c>
    </row>
    <row r="76" spans="1:15" s="81" customFormat="1" ht="25.5" customHeight="1">
      <c r="A76" s="1"/>
      <c r="B76" s="1"/>
      <c r="C76" s="102" t="s">
        <v>914</v>
      </c>
      <c r="D76" s="187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s="81" customFormat="1" ht="13.5" customHeight="1">
      <c r="A77" s="1"/>
      <c r="B77" s="1"/>
      <c r="C77" s="173" t="s">
        <v>566</v>
      </c>
      <c r="D77" s="189">
        <v>171980</v>
      </c>
      <c r="E77" s="82">
        <f>0+'[1]táj.1'!E77</f>
        <v>0</v>
      </c>
      <c r="F77" s="82">
        <f>0+'[1]táj.1'!F77</f>
        <v>0</v>
      </c>
      <c r="G77" s="82">
        <f>0+'[1]táj.1'!G77</f>
        <v>0</v>
      </c>
      <c r="H77" s="82">
        <f>36195+'[1]táj.1'!H77</f>
        <v>36195</v>
      </c>
      <c r="I77" s="82">
        <f>0+'[1]táj.1'!I77</f>
        <v>0</v>
      </c>
      <c r="J77" s="82">
        <f>0+'[1]táj.1'!J77</f>
        <v>0</v>
      </c>
      <c r="K77" s="82">
        <f>0+'[1]táj.1'!K77</f>
        <v>0</v>
      </c>
      <c r="L77" s="82">
        <f>0+'[1]táj.1'!L77</f>
        <v>0</v>
      </c>
      <c r="M77" s="82">
        <f>0+'[1]táj.1'!M77</f>
        <v>0</v>
      </c>
      <c r="N77" s="82">
        <f>0+'[1]táj.1'!N77</f>
        <v>0</v>
      </c>
      <c r="O77" s="82">
        <f>SUM(E77:N77)</f>
        <v>36195</v>
      </c>
    </row>
    <row r="78" spans="1:15" s="81" customFormat="1" ht="26.25" customHeight="1">
      <c r="A78" s="89"/>
      <c r="B78" s="89"/>
      <c r="C78" s="95" t="s">
        <v>736</v>
      </c>
      <c r="D78" s="180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s="81" customFormat="1" ht="29.25" customHeight="1">
      <c r="A79" s="1"/>
      <c r="B79" s="1"/>
      <c r="C79" s="193" t="s">
        <v>208</v>
      </c>
      <c r="D79" s="188">
        <v>171905</v>
      </c>
      <c r="E79" s="82">
        <f>0+'[1]táj.1'!E79</f>
        <v>0</v>
      </c>
      <c r="F79" s="82">
        <f>0+'[1]táj.1'!F79</f>
        <v>0</v>
      </c>
      <c r="G79" s="82">
        <f>0+'[1]táj.1'!G79</f>
        <v>0</v>
      </c>
      <c r="H79" s="82">
        <f>71755+'[1]táj.1'!H79</f>
        <v>74997</v>
      </c>
      <c r="I79" s="82">
        <f>0+'[1]táj.1'!I79</f>
        <v>0</v>
      </c>
      <c r="J79" s="82">
        <f>0+'[1]táj.1'!J79</f>
        <v>0</v>
      </c>
      <c r="K79" s="82">
        <f>0+'[1]táj.1'!K79</f>
        <v>0</v>
      </c>
      <c r="L79" s="82">
        <f>0+'[1]táj.1'!L79</f>
        <v>0</v>
      </c>
      <c r="M79" s="82">
        <f>0+'[1]táj.1'!M79</f>
        <v>0</v>
      </c>
      <c r="N79" s="82">
        <f>0+'[1]táj.1'!N79</f>
        <v>0</v>
      </c>
      <c r="O79" s="82">
        <f aca="true" t="shared" si="5" ref="O79:O85">SUM(E79:N79)</f>
        <v>74997</v>
      </c>
    </row>
    <row r="80" spans="1:15" s="81" customFormat="1" ht="13.5" customHeight="1">
      <c r="A80" s="90"/>
      <c r="B80" s="90"/>
      <c r="C80" s="174" t="s">
        <v>582</v>
      </c>
      <c r="D80" s="188">
        <v>171909</v>
      </c>
      <c r="E80" s="82">
        <f>0+'[1]táj.1'!E80</f>
        <v>0</v>
      </c>
      <c r="F80" s="82">
        <f>0+'[1]táj.1'!F80</f>
        <v>0</v>
      </c>
      <c r="G80" s="82">
        <f>0+'[1]táj.1'!G80</f>
        <v>0</v>
      </c>
      <c r="H80" s="82">
        <f>3429+'[1]táj.1'!H80</f>
        <v>3429</v>
      </c>
      <c r="I80" s="82">
        <f>0+'[1]táj.1'!I80</f>
        <v>0</v>
      </c>
      <c r="J80" s="82">
        <f>0+'[1]táj.1'!J80</f>
        <v>0</v>
      </c>
      <c r="K80" s="82">
        <f>0+'[1]táj.1'!K80</f>
        <v>0</v>
      </c>
      <c r="L80" s="82">
        <f>0+'[1]táj.1'!L80</f>
        <v>0</v>
      </c>
      <c r="M80" s="82">
        <f>0+'[1]táj.1'!M80</f>
        <v>0</v>
      </c>
      <c r="N80" s="82">
        <f>0+'[1]táj.1'!N80</f>
        <v>0</v>
      </c>
      <c r="O80" s="82">
        <f t="shared" si="5"/>
        <v>3429</v>
      </c>
    </row>
    <row r="81" spans="1:15" s="81" customFormat="1" ht="13.5" customHeight="1">
      <c r="A81" s="90"/>
      <c r="B81" s="90"/>
      <c r="C81" s="174" t="s">
        <v>336</v>
      </c>
      <c r="D81" s="188">
        <v>171904</v>
      </c>
      <c r="E81" s="82">
        <f>0+'[1]táj.1'!E81</f>
        <v>0</v>
      </c>
      <c r="F81" s="82">
        <f>0+'[1]táj.1'!F81</f>
        <v>0</v>
      </c>
      <c r="G81" s="82">
        <f>0+'[1]táj.1'!G81</f>
        <v>0</v>
      </c>
      <c r="H81" s="82">
        <f>2000+'[1]táj.1'!H81</f>
        <v>2000</v>
      </c>
      <c r="I81" s="82">
        <f>0+'[1]táj.1'!I81</f>
        <v>0</v>
      </c>
      <c r="J81" s="82">
        <f>0+'[1]táj.1'!J81</f>
        <v>0</v>
      </c>
      <c r="K81" s="82">
        <f>0+'[1]táj.1'!K81</f>
        <v>0</v>
      </c>
      <c r="L81" s="82">
        <f>0+'[1]táj.1'!L81</f>
        <v>0</v>
      </c>
      <c r="M81" s="82">
        <f>0+'[1]táj.1'!M81</f>
        <v>0</v>
      </c>
      <c r="N81" s="82">
        <f>0+'[1]táj.1'!N81</f>
        <v>0</v>
      </c>
      <c r="O81" s="82">
        <f t="shared" si="5"/>
        <v>2000</v>
      </c>
    </row>
    <row r="82" spans="1:15" s="81" customFormat="1" ht="13.5" customHeight="1">
      <c r="A82" s="90"/>
      <c r="B82" s="90"/>
      <c r="C82" s="644" t="s">
        <v>114</v>
      </c>
      <c r="D82" s="645">
        <v>151916</v>
      </c>
      <c r="E82" s="82">
        <f>0+'[1]táj.1'!E82</f>
        <v>0</v>
      </c>
      <c r="F82" s="82">
        <f>0+'[1]táj.1'!F82</f>
        <v>0</v>
      </c>
      <c r="G82" s="82">
        <f>0+'[1]táj.1'!G82</f>
        <v>0</v>
      </c>
      <c r="H82" s="82">
        <f>3429+'[1]táj.1'!H82</f>
        <v>3429</v>
      </c>
      <c r="I82" s="82">
        <f>0+'[1]táj.1'!I82</f>
        <v>0</v>
      </c>
      <c r="J82" s="82">
        <f>0+'[1]táj.1'!J82</f>
        <v>0</v>
      </c>
      <c r="K82" s="82">
        <f>0+'[1]táj.1'!K82</f>
        <v>0</v>
      </c>
      <c r="L82" s="82">
        <f>0+'[1]táj.1'!L82</f>
        <v>0</v>
      </c>
      <c r="M82" s="82">
        <f>0+'[1]táj.1'!M82</f>
        <v>0</v>
      </c>
      <c r="N82" s="82">
        <f>0+'[1]táj.1'!N82</f>
        <v>0</v>
      </c>
      <c r="O82" s="82">
        <f t="shared" si="5"/>
        <v>3429</v>
      </c>
    </row>
    <row r="83" spans="1:15" s="81" customFormat="1" ht="13.5" customHeight="1">
      <c r="A83" s="90"/>
      <c r="B83" s="90"/>
      <c r="C83" s="174" t="s">
        <v>1059</v>
      </c>
      <c r="D83" s="188">
        <v>172909</v>
      </c>
      <c r="E83" s="82">
        <f>0+'[1]táj.1'!E83</f>
        <v>0</v>
      </c>
      <c r="F83" s="82">
        <f>0+'[1]táj.1'!F83</f>
        <v>0</v>
      </c>
      <c r="G83" s="82">
        <f>0+'[1]táj.1'!G83</f>
        <v>0</v>
      </c>
      <c r="H83" s="82">
        <f>104775+'[1]táj.1'!H83</f>
        <v>104775</v>
      </c>
      <c r="I83" s="82">
        <f>0+'[1]táj.1'!I83</f>
        <v>0</v>
      </c>
      <c r="J83" s="82">
        <f>0+'[1]táj.1'!J83</f>
        <v>0</v>
      </c>
      <c r="K83" s="82">
        <f>0+'[1]táj.1'!K83</f>
        <v>0</v>
      </c>
      <c r="L83" s="82">
        <f>0+'[1]táj.1'!L83</f>
        <v>0</v>
      </c>
      <c r="M83" s="82">
        <f>0+'[1]táj.1'!M83</f>
        <v>0</v>
      </c>
      <c r="N83" s="82">
        <f>0+'[1]táj.1'!N83</f>
        <v>0</v>
      </c>
      <c r="O83" s="82">
        <f t="shared" si="5"/>
        <v>104775</v>
      </c>
    </row>
    <row r="84" spans="1:15" s="81" customFormat="1" ht="13.5" customHeight="1">
      <c r="A84" s="90"/>
      <c r="B84" s="90"/>
      <c r="C84" s="174" t="s">
        <v>1226</v>
      </c>
      <c r="D84" s="188">
        <v>162674</v>
      </c>
      <c r="E84" s="82">
        <f>0+'[1]táj.1'!E84</f>
        <v>0</v>
      </c>
      <c r="F84" s="82">
        <f>0+'[1]táj.1'!F84</f>
        <v>0</v>
      </c>
      <c r="G84" s="82">
        <f>0+'[1]táj.1'!G84</f>
        <v>0</v>
      </c>
      <c r="H84" s="82">
        <f>15240+'[1]táj.1'!H84</f>
        <v>15240</v>
      </c>
      <c r="I84" s="82">
        <f>0+'[1]táj.1'!I84</f>
        <v>0</v>
      </c>
      <c r="J84" s="82">
        <f>0+'[1]táj.1'!J84</f>
        <v>0</v>
      </c>
      <c r="K84" s="82">
        <f>0+'[1]táj.1'!K84</f>
        <v>0</v>
      </c>
      <c r="L84" s="82">
        <f>0+'[1]táj.1'!L84</f>
        <v>0</v>
      </c>
      <c r="M84" s="82">
        <f>0+'[1]táj.1'!M84</f>
        <v>0</v>
      </c>
      <c r="N84" s="82">
        <f>0+'[1]táj.1'!N84</f>
        <v>0</v>
      </c>
      <c r="O84" s="82">
        <f t="shared" si="5"/>
        <v>15240</v>
      </c>
    </row>
    <row r="85" spans="1:15" s="81" customFormat="1" ht="13.5" customHeight="1">
      <c r="A85" s="90"/>
      <c r="B85" s="90"/>
      <c r="C85" s="174" t="s">
        <v>1067</v>
      </c>
      <c r="D85" s="188">
        <v>172920</v>
      </c>
      <c r="E85" s="82">
        <f>0+'[1]táj.1'!E85</f>
        <v>0</v>
      </c>
      <c r="F85" s="82">
        <f>0+'[1]táj.1'!F85</f>
        <v>0</v>
      </c>
      <c r="G85" s="82">
        <f>0+'[1]táj.1'!G85</f>
        <v>0</v>
      </c>
      <c r="H85" s="82">
        <f>11430+'[1]táj.1'!H85</f>
        <v>11430</v>
      </c>
      <c r="I85" s="82">
        <f>0+'[1]táj.1'!I85</f>
        <v>0</v>
      </c>
      <c r="J85" s="82">
        <f>0+'[1]táj.1'!J85</f>
        <v>0</v>
      </c>
      <c r="K85" s="82">
        <f>0+'[1]táj.1'!K85</f>
        <v>0</v>
      </c>
      <c r="L85" s="82">
        <f>0+'[1]táj.1'!L85</f>
        <v>0</v>
      </c>
      <c r="M85" s="82">
        <f>0+'[1]táj.1'!M85</f>
        <v>0</v>
      </c>
      <c r="N85" s="82">
        <f>0+'[1]táj.1'!N85</f>
        <v>0</v>
      </c>
      <c r="O85" s="82">
        <f t="shared" si="5"/>
        <v>11430</v>
      </c>
    </row>
    <row r="86" spans="1:15" s="81" customFormat="1" ht="24.75" customHeight="1">
      <c r="A86" s="90"/>
      <c r="B86" s="90"/>
      <c r="C86" s="172" t="s">
        <v>408</v>
      </c>
      <c r="D86" s="187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s="81" customFormat="1" ht="15" customHeight="1">
      <c r="A87" s="90"/>
      <c r="B87" s="90"/>
      <c r="C87" s="101" t="s">
        <v>565</v>
      </c>
      <c r="D87" s="188">
        <v>171901</v>
      </c>
      <c r="E87" s="82">
        <f>0+'[1]táj.1'!E87</f>
        <v>0</v>
      </c>
      <c r="F87" s="82">
        <f>0+'[1]táj.1'!F87</f>
        <v>0</v>
      </c>
      <c r="G87" s="82">
        <f>0+'[1]táj.1'!G87</f>
        <v>0</v>
      </c>
      <c r="H87" s="82">
        <f>36195+'[1]táj.1'!H87</f>
        <v>36195</v>
      </c>
      <c r="I87" s="82">
        <f>0+'[1]táj.1'!I87</f>
        <v>0</v>
      </c>
      <c r="J87" s="82">
        <f>0+'[1]táj.1'!J87</f>
        <v>0</v>
      </c>
      <c r="K87" s="82">
        <f>0+'[1]táj.1'!K87</f>
        <v>0</v>
      </c>
      <c r="L87" s="82">
        <f>0+'[1]táj.1'!L87</f>
        <v>0</v>
      </c>
      <c r="M87" s="82">
        <f>0+'[1]táj.1'!M87</f>
        <v>0</v>
      </c>
      <c r="N87" s="82">
        <f>0+'[1]táj.1'!N87</f>
        <v>0</v>
      </c>
      <c r="O87" s="82">
        <f>SUM(E87:N87)</f>
        <v>36195</v>
      </c>
    </row>
    <row r="88" spans="1:15" s="81" customFormat="1" ht="24.75" customHeight="1">
      <c r="A88" s="1"/>
      <c r="B88" s="1"/>
      <c r="C88" s="175" t="s">
        <v>410</v>
      </c>
      <c r="D88" s="190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s="81" customFormat="1" ht="28.5" customHeight="1">
      <c r="A89" s="1"/>
      <c r="B89" s="1"/>
      <c r="C89" s="172" t="s">
        <v>979</v>
      </c>
      <c r="D89" s="186">
        <v>171908</v>
      </c>
      <c r="E89" s="82">
        <f>0+'[1]táj.1'!E89</f>
        <v>0</v>
      </c>
      <c r="F89" s="82">
        <f>0+'[1]táj.1'!F89</f>
        <v>0</v>
      </c>
      <c r="G89" s="82">
        <f>0+'[1]táj.1'!G89</f>
        <v>0</v>
      </c>
      <c r="H89" s="82">
        <f>101600+'[1]táj.1'!H89</f>
        <v>101600</v>
      </c>
      <c r="I89" s="82">
        <f>0+'[1]táj.1'!I89</f>
        <v>0</v>
      </c>
      <c r="J89" s="82">
        <f>0+'[1]táj.1'!J89</f>
        <v>0</v>
      </c>
      <c r="K89" s="82">
        <f>0+'[1]táj.1'!K89</f>
        <v>0</v>
      </c>
      <c r="L89" s="82">
        <f>0+'[1]táj.1'!L89</f>
        <v>0</v>
      </c>
      <c r="M89" s="82">
        <f>0+'[1]táj.1'!M89</f>
        <v>0</v>
      </c>
      <c r="N89" s="82">
        <f>0+'[1]táj.1'!N89</f>
        <v>0</v>
      </c>
      <c r="O89" s="82">
        <f>SUM(E89:N89)</f>
        <v>101600</v>
      </c>
    </row>
    <row r="90" spans="1:15" s="81" customFormat="1" ht="15.75" customHeight="1">
      <c r="A90" s="1"/>
      <c r="B90" s="1"/>
      <c r="C90" s="321" t="s">
        <v>567</v>
      </c>
      <c r="D90" s="189">
        <v>171954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s="81" customFormat="1" ht="15.75" customHeight="1">
      <c r="A91" s="1"/>
      <c r="B91" s="1"/>
      <c r="C91" s="95" t="s">
        <v>727</v>
      </c>
      <c r="D91" s="180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s="81" customFormat="1" ht="24.75" customHeight="1">
      <c r="A92" s="1"/>
      <c r="B92" s="1"/>
      <c r="C92" s="102" t="s">
        <v>1172</v>
      </c>
      <c r="D92" s="186">
        <v>121401</v>
      </c>
      <c r="E92" s="82">
        <f>0+'[1]táj.1'!E92</f>
        <v>0</v>
      </c>
      <c r="F92" s="82">
        <f>0+'[1]táj.1'!F92</f>
        <v>0</v>
      </c>
      <c r="G92" s="82">
        <f>0+'[1]táj.1'!G92</f>
        <v>0</v>
      </c>
      <c r="H92" s="82">
        <f>0+'[1]táj.1'!H92</f>
        <v>0</v>
      </c>
      <c r="I92" s="82">
        <f>0+'[1]táj.1'!I92</f>
        <v>0</v>
      </c>
      <c r="J92" s="82">
        <f>0+'[1]táj.1'!J92</f>
        <v>0</v>
      </c>
      <c r="K92" s="82">
        <f>5000+'[1]táj.1'!K92</f>
        <v>5000</v>
      </c>
      <c r="L92" s="82">
        <f>0+'[1]táj.1'!L92</f>
        <v>0</v>
      </c>
      <c r="M92" s="82">
        <f>0+'[1]táj.1'!M92</f>
        <v>0</v>
      </c>
      <c r="N92" s="82">
        <f>0+'[1]táj.1'!N92</f>
        <v>0</v>
      </c>
      <c r="O92" s="82">
        <f>SUM(E92:N92)</f>
        <v>5000</v>
      </c>
    </row>
    <row r="93" spans="1:15" s="81" customFormat="1" ht="24.75" customHeight="1">
      <c r="A93" s="1"/>
      <c r="B93" s="1"/>
      <c r="C93" s="646" t="s">
        <v>764</v>
      </c>
      <c r="D93" s="647">
        <v>121405</v>
      </c>
      <c r="E93" s="82">
        <f>0+'[1]táj.1'!E93</f>
        <v>0</v>
      </c>
      <c r="F93" s="82">
        <f>0+'[1]táj.1'!F93</f>
        <v>0</v>
      </c>
      <c r="G93" s="82">
        <f>0+'[1]táj.1'!G93</f>
        <v>0</v>
      </c>
      <c r="H93" s="82">
        <f>0+'[1]táj.1'!H93</f>
        <v>0</v>
      </c>
      <c r="I93" s="82">
        <f>0+'[1]táj.1'!I93</f>
        <v>0</v>
      </c>
      <c r="J93" s="82">
        <f>0+'[1]táj.1'!J93</f>
        <v>0</v>
      </c>
      <c r="K93" s="82">
        <f>0+'[1]táj.1'!K93</f>
        <v>900</v>
      </c>
      <c r="L93" s="82">
        <f>0+'[1]táj.1'!L93</f>
        <v>0</v>
      </c>
      <c r="M93" s="82">
        <f>0+'[1]táj.1'!M93</f>
        <v>0</v>
      </c>
      <c r="N93" s="82">
        <f>0+'[1]táj.1'!N93</f>
        <v>0</v>
      </c>
      <c r="O93" s="82">
        <f>SUM(E93:N93)</f>
        <v>900</v>
      </c>
    </row>
    <row r="94" spans="1:15" s="81" customFormat="1" ht="17.25" customHeight="1">
      <c r="A94" s="1"/>
      <c r="B94" s="1"/>
      <c r="C94" s="115" t="s">
        <v>915</v>
      </c>
      <c r="D94" s="1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s="81" customFormat="1" ht="16.5" customHeight="1">
      <c r="A95" s="1"/>
      <c r="B95" s="1"/>
      <c r="C95" s="172" t="s">
        <v>142</v>
      </c>
      <c r="D95" s="186">
        <v>176902</v>
      </c>
      <c r="E95" s="82">
        <f>0+'[1]táj.1'!E95</f>
        <v>0</v>
      </c>
      <c r="F95" s="82">
        <f>0+'[1]táj.1'!F95</f>
        <v>0</v>
      </c>
      <c r="G95" s="82">
        <f>0+'[1]táj.1'!G95</f>
        <v>0</v>
      </c>
      <c r="H95" s="82">
        <f>0+'[1]táj.1'!H95</f>
        <v>0</v>
      </c>
      <c r="I95" s="82">
        <f>0+'[1]táj.1'!I95</f>
        <v>0</v>
      </c>
      <c r="J95" s="82">
        <f>0+'[1]táj.1'!J95</f>
        <v>0</v>
      </c>
      <c r="K95" s="82">
        <f>0+'[1]táj.1'!K95</f>
        <v>0</v>
      </c>
      <c r="L95" s="82">
        <f>0+'[1]táj.1'!L95</f>
        <v>0</v>
      </c>
      <c r="M95" s="82">
        <f>145955+'[1]táj.1'!M95</f>
        <v>145955</v>
      </c>
      <c r="N95" s="82">
        <f>129308+'[1]táj.1'!N95</f>
        <v>129308</v>
      </c>
      <c r="O95" s="82">
        <f>SUM(E95:N95)</f>
        <v>275263</v>
      </c>
    </row>
    <row r="96" spans="1:15" s="81" customFormat="1" ht="12" customHeight="1">
      <c r="A96" s="83"/>
      <c r="B96" s="83"/>
      <c r="C96" s="103" t="s">
        <v>381</v>
      </c>
      <c r="D96" s="83"/>
      <c r="E96" s="84">
        <f aca="true" t="shared" si="6" ref="E96:O96">SUM(E71:E95)</f>
        <v>0</v>
      </c>
      <c r="F96" s="84">
        <f t="shared" si="6"/>
        <v>0</v>
      </c>
      <c r="G96" s="84">
        <f t="shared" si="6"/>
        <v>0</v>
      </c>
      <c r="H96" s="84">
        <f t="shared" si="6"/>
        <v>445574</v>
      </c>
      <c r="I96" s="84">
        <f t="shared" si="6"/>
        <v>226720</v>
      </c>
      <c r="J96" s="84">
        <f t="shared" si="6"/>
        <v>0</v>
      </c>
      <c r="K96" s="84">
        <f t="shared" si="6"/>
        <v>5900</v>
      </c>
      <c r="L96" s="84">
        <f t="shared" si="6"/>
        <v>0</v>
      </c>
      <c r="M96" s="84">
        <f t="shared" si="6"/>
        <v>145955</v>
      </c>
      <c r="N96" s="84">
        <f t="shared" si="6"/>
        <v>129308</v>
      </c>
      <c r="O96" s="84">
        <f t="shared" si="6"/>
        <v>953457</v>
      </c>
    </row>
    <row r="97" spans="1:15" s="81" customFormat="1" ht="12" customHeight="1">
      <c r="A97" s="181">
        <v>1</v>
      </c>
      <c r="B97" s="181">
        <v>18</v>
      </c>
      <c r="C97" s="102" t="s">
        <v>568</v>
      </c>
      <c r="D97" s="187"/>
      <c r="E97" s="620"/>
      <c r="F97" s="620"/>
      <c r="G97" s="620"/>
      <c r="H97" s="620"/>
      <c r="I97" s="620"/>
      <c r="J97" s="620"/>
      <c r="K97" s="620"/>
      <c r="L97" s="620"/>
      <c r="M97" s="620"/>
      <c r="N97" s="620"/>
      <c r="O97" s="620"/>
    </row>
    <row r="98" spans="1:15" s="81" customFormat="1" ht="24.75" customHeight="1">
      <c r="A98" s="1"/>
      <c r="B98" s="1"/>
      <c r="C98" s="95" t="s">
        <v>736</v>
      </c>
      <c r="D98" s="180"/>
      <c r="E98" s="88"/>
      <c r="F98" s="88"/>
      <c r="G98" s="88"/>
      <c r="H98" s="82"/>
      <c r="I98" s="82"/>
      <c r="J98" s="82"/>
      <c r="K98" s="82"/>
      <c r="L98" s="82"/>
      <c r="M98" s="82"/>
      <c r="N98" s="82"/>
      <c r="O98" s="82"/>
    </row>
    <row r="99" spans="1:15" s="81" customFormat="1" ht="24.75" customHeight="1">
      <c r="A99" s="1"/>
      <c r="B99" s="1"/>
      <c r="C99" s="95" t="s">
        <v>1215</v>
      </c>
      <c r="D99" s="180" t="s">
        <v>166</v>
      </c>
      <c r="E99" s="88">
        <f>0+'[1]táj.1'!E99</f>
        <v>0</v>
      </c>
      <c r="F99" s="88">
        <f>0+'[1]táj.1'!F99</f>
        <v>0</v>
      </c>
      <c r="G99" s="88">
        <f>0+'[1]táj.1'!G99</f>
        <v>0</v>
      </c>
      <c r="H99" s="88">
        <f>27740+'[1]táj.1'!H99</f>
        <v>27740</v>
      </c>
      <c r="I99" s="88">
        <f>0+'[1]táj.1'!I99</f>
        <v>0</v>
      </c>
      <c r="J99" s="88">
        <f>0+'[1]táj.1'!J99</f>
        <v>0</v>
      </c>
      <c r="K99" s="88">
        <f>0+'[1]táj.1'!K99</f>
        <v>0</v>
      </c>
      <c r="L99" s="88">
        <f>0+'[1]táj.1'!L99</f>
        <v>0</v>
      </c>
      <c r="M99" s="88">
        <f>0+'[1]táj.1'!M99</f>
        <v>0</v>
      </c>
      <c r="N99" s="88">
        <f>0+'[1]táj.1'!N99</f>
        <v>0</v>
      </c>
      <c r="O99" s="82">
        <f>SUM(E99:N99)</f>
        <v>27740</v>
      </c>
    </row>
    <row r="100" spans="1:15" s="81" customFormat="1" ht="12" customHeight="1">
      <c r="A100" s="1"/>
      <c r="B100" s="1"/>
      <c r="C100" s="102" t="s">
        <v>1026</v>
      </c>
      <c r="D100" s="186">
        <v>181905</v>
      </c>
      <c r="E100" s="88">
        <f>0+'[1]táj.1'!E100</f>
        <v>0</v>
      </c>
      <c r="F100" s="88">
        <f>0+'[1]táj.1'!F100</f>
        <v>0</v>
      </c>
      <c r="G100" s="88">
        <f>0+'[1]táj.1'!G100</f>
        <v>0</v>
      </c>
      <c r="H100" s="88">
        <f>17000+'[1]táj.1'!H100</f>
        <v>17000</v>
      </c>
      <c r="I100" s="88">
        <f>0+'[1]táj.1'!I100</f>
        <v>0</v>
      </c>
      <c r="J100" s="88">
        <f>0+'[1]táj.1'!J100</f>
        <v>0</v>
      </c>
      <c r="K100" s="88">
        <f>0+'[1]táj.1'!K100</f>
        <v>0</v>
      </c>
      <c r="L100" s="88">
        <f>0+'[1]táj.1'!L100</f>
        <v>0</v>
      </c>
      <c r="M100" s="88">
        <f>0+'[1]táj.1'!M100</f>
        <v>0</v>
      </c>
      <c r="N100" s="88">
        <f>0+'[1]táj.1'!N100</f>
        <v>0</v>
      </c>
      <c r="O100" s="82">
        <f>SUM(E100:N100)</f>
        <v>17000</v>
      </c>
    </row>
    <row r="101" spans="1:15" s="81" customFormat="1" ht="15" customHeight="1">
      <c r="A101" s="1"/>
      <c r="B101" s="1"/>
      <c r="C101" s="95" t="s">
        <v>415</v>
      </c>
      <c r="D101" s="180">
        <v>181903</v>
      </c>
      <c r="E101" s="88">
        <f>0+'[1]táj.1'!E101</f>
        <v>0</v>
      </c>
      <c r="F101" s="88">
        <f>0+'[1]táj.1'!F101</f>
        <v>0</v>
      </c>
      <c r="G101" s="88">
        <f>5000+'[1]táj.1'!G101</f>
        <v>5000</v>
      </c>
      <c r="H101" s="88">
        <f>0+'[1]táj.1'!H101</f>
        <v>0</v>
      </c>
      <c r="I101" s="88">
        <f>0+'[1]táj.1'!I101</f>
        <v>0</v>
      </c>
      <c r="J101" s="88">
        <f>0+'[1]táj.1'!J101</f>
        <v>0</v>
      </c>
      <c r="K101" s="88">
        <f>0+'[1]táj.1'!K101</f>
        <v>0</v>
      </c>
      <c r="L101" s="88">
        <f>0+'[1]táj.1'!L101</f>
        <v>0</v>
      </c>
      <c r="M101" s="88">
        <f>0+'[1]táj.1'!M101</f>
        <v>0</v>
      </c>
      <c r="N101" s="88">
        <f>0+'[1]táj.1'!N101</f>
        <v>0</v>
      </c>
      <c r="O101" s="82">
        <f>SUM(E101:N101)</f>
        <v>5000</v>
      </c>
    </row>
    <row r="102" spans="1:15" s="81" customFormat="1" ht="27.75" customHeight="1">
      <c r="A102" s="1"/>
      <c r="B102" s="1"/>
      <c r="C102" s="95" t="s">
        <v>1163</v>
      </c>
      <c r="D102" s="180">
        <v>181904</v>
      </c>
      <c r="E102" s="88">
        <f>0+'[1]táj.1'!E102</f>
        <v>0</v>
      </c>
      <c r="F102" s="88">
        <f>0+'[1]táj.1'!F102</f>
        <v>0</v>
      </c>
      <c r="G102" s="88">
        <f>0+'[1]táj.1'!G102</f>
        <v>0</v>
      </c>
      <c r="H102" s="88">
        <f>200+'[1]táj.1'!H102</f>
        <v>200</v>
      </c>
      <c r="I102" s="88">
        <f>0+'[1]táj.1'!I102</f>
        <v>0</v>
      </c>
      <c r="J102" s="88">
        <f>0+'[1]táj.1'!J102</f>
        <v>0</v>
      </c>
      <c r="K102" s="88">
        <f>0+'[1]táj.1'!K102</f>
        <v>0</v>
      </c>
      <c r="L102" s="88">
        <f>0+'[1]táj.1'!L102</f>
        <v>0</v>
      </c>
      <c r="M102" s="88">
        <f>0+'[1]táj.1'!M102</f>
        <v>0</v>
      </c>
      <c r="N102" s="88">
        <f>0+'[1]táj.1'!N102</f>
        <v>0</v>
      </c>
      <c r="O102" s="82">
        <f>SUM(E102:N102)</f>
        <v>200</v>
      </c>
    </row>
    <row r="103" spans="1:15" s="81" customFormat="1" ht="15" customHeight="1">
      <c r="A103" s="1" t="s">
        <v>572</v>
      </c>
      <c r="B103" s="1"/>
      <c r="C103" s="102" t="s">
        <v>852</v>
      </c>
      <c r="D103" s="186">
        <v>181902</v>
      </c>
      <c r="E103" s="88">
        <f>0+'[1]táj.1'!E103</f>
        <v>0</v>
      </c>
      <c r="F103" s="88">
        <f>0+'[1]táj.1'!F103</f>
        <v>0</v>
      </c>
      <c r="G103" s="88">
        <f>0+'[1]táj.1'!G103</f>
        <v>0</v>
      </c>
      <c r="H103" s="88">
        <f>32004+'[1]táj.1'!H103</f>
        <v>32004</v>
      </c>
      <c r="I103" s="88">
        <f>0+'[1]táj.1'!I103</f>
        <v>0</v>
      </c>
      <c r="J103" s="88">
        <f>0+'[1]táj.1'!J103</f>
        <v>0</v>
      </c>
      <c r="K103" s="88">
        <f>0+'[1]táj.1'!K103</f>
        <v>0</v>
      </c>
      <c r="L103" s="88">
        <f>0+'[1]táj.1'!L103</f>
        <v>0</v>
      </c>
      <c r="M103" s="88">
        <f>0+'[1]táj.1'!M103</f>
        <v>0</v>
      </c>
      <c r="N103" s="88">
        <f>0+'[1]táj.1'!N103</f>
        <v>0</v>
      </c>
      <c r="O103" s="82">
        <f>SUM(E103:N103)</f>
        <v>32004</v>
      </c>
    </row>
    <row r="104" spans="1:15" s="81" customFormat="1" ht="14.25" customHeight="1">
      <c r="A104" s="83"/>
      <c r="B104" s="83"/>
      <c r="C104" s="103" t="s">
        <v>853</v>
      </c>
      <c r="D104" s="83"/>
      <c r="E104" s="92">
        <f aca="true" t="shared" si="7" ref="E104:O104">SUM(E99:E103)</f>
        <v>0</v>
      </c>
      <c r="F104" s="92">
        <f t="shared" si="7"/>
        <v>0</v>
      </c>
      <c r="G104" s="92">
        <f t="shared" si="7"/>
        <v>5000</v>
      </c>
      <c r="H104" s="92">
        <f t="shared" si="7"/>
        <v>76944</v>
      </c>
      <c r="I104" s="92">
        <f t="shared" si="7"/>
        <v>0</v>
      </c>
      <c r="J104" s="92">
        <f t="shared" si="7"/>
        <v>0</v>
      </c>
      <c r="K104" s="92">
        <f t="shared" si="7"/>
        <v>0</v>
      </c>
      <c r="L104" s="92">
        <f t="shared" si="7"/>
        <v>0</v>
      </c>
      <c r="M104" s="92">
        <f t="shared" si="7"/>
        <v>0</v>
      </c>
      <c r="N104" s="92">
        <f t="shared" si="7"/>
        <v>0</v>
      </c>
      <c r="O104" s="92">
        <f t="shared" si="7"/>
        <v>81944</v>
      </c>
    </row>
    <row r="105" spans="1:15" s="81" customFormat="1" ht="12" customHeight="1">
      <c r="A105" s="1">
        <v>1</v>
      </c>
      <c r="B105" s="1">
        <v>19</v>
      </c>
      <c r="C105" s="170" t="s">
        <v>571</v>
      </c>
      <c r="D105" s="181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s="81" customFormat="1" ht="26.25" customHeight="1">
      <c r="A106" s="1"/>
      <c r="B106" s="1"/>
      <c r="C106" s="176" t="s">
        <v>801</v>
      </c>
      <c r="D106" s="190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s="81" customFormat="1" ht="24.75" customHeight="1">
      <c r="A107" s="1"/>
      <c r="B107" s="1"/>
      <c r="C107" s="102" t="s">
        <v>429</v>
      </c>
      <c r="D107" s="186">
        <v>196911</v>
      </c>
      <c r="E107" s="88">
        <f>0+'[1]táj.1'!E107</f>
        <v>0</v>
      </c>
      <c r="F107" s="88">
        <f>0+'[1]táj.1'!F107</f>
        <v>0</v>
      </c>
      <c r="G107" s="88">
        <f>0+'[1]táj.1'!G107</f>
        <v>0</v>
      </c>
      <c r="H107" s="88">
        <f>0+'[1]táj.1'!H107</f>
        <v>0</v>
      </c>
      <c r="I107" s="88">
        <f>0+'[1]táj.1'!I107</f>
        <v>0</v>
      </c>
      <c r="J107" s="88">
        <f>0+'[1]táj.1'!J107</f>
        <v>0</v>
      </c>
      <c r="K107" s="88">
        <f>0+'[1]táj.1'!K107</f>
        <v>0</v>
      </c>
      <c r="L107" s="88">
        <f>190999+'[1]táj.1'!L107</f>
        <v>190999</v>
      </c>
      <c r="M107" s="88">
        <f>0+'[1]táj.1'!M107</f>
        <v>0</v>
      </c>
      <c r="N107" s="88">
        <f>0+'[1]táj.1'!N107</f>
        <v>0</v>
      </c>
      <c r="O107" s="82">
        <f>SUM(E107:N107)</f>
        <v>190999</v>
      </c>
    </row>
    <row r="108" spans="1:15" s="81" customFormat="1" ht="24.75" customHeight="1">
      <c r="A108" s="1"/>
      <c r="B108" s="1"/>
      <c r="C108" s="102" t="s">
        <v>728</v>
      </c>
      <c r="D108" s="182"/>
      <c r="E108" s="88">
        <f>0+'[1]táj.1'!E108</f>
        <v>0</v>
      </c>
      <c r="F108" s="88">
        <f>0+'[1]táj.1'!F108</f>
        <v>0</v>
      </c>
      <c r="G108" s="88">
        <f>0+'[1]táj.1'!G108</f>
        <v>0</v>
      </c>
      <c r="H108" s="88">
        <f>0+'[1]táj.1'!H108</f>
        <v>0</v>
      </c>
      <c r="I108" s="88">
        <f>0+'[1]táj.1'!I108</f>
        <v>0</v>
      </c>
      <c r="J108" s="88">
        <f>0+'[1]táj.1'!J108</f>
        <v>0</v>
      </c>
      <c r="K108" s="88">
        <f>0+'[1]táj.1'!K108</f>
        <v>0</v>
      </c>
      <c r="L108" s="88">
        <f>0+'[1]táj.1'!L108</f>
        <v>0</v>
      </c>
      <c r="M108" s="88">
        <f>0+'[1]táj.1'!M108</f>
        <v>0</v>
      </c>
      <c r="N108" s="88">
        <f>0+'[1]táj.1'!N108</f>
        <v>0</v>
      </c>
      <c r="O108" s="82"/>
    </row>
    <row r="109" spans="1:15" s="81" customFormat="1" ht="12.75">
      <c r="A109" s="1" t="s">
        <v>572</v>
      </c>
      <c r="B109" s="1"/>
      <c r="C109" s="101" t="s">
        <v>854</v>
      </c>
      <c r="D109" s="188">
        <v>191102</v>
      </c>
      <c r="E109" s="88">
        <f>0+'[1]táj.1'!E109</f>
        <v>0</v>
      </c>
      <c r="F109" s="88">
        <f>0+'[1]táj.1'!F109</f>
        <v>0</v>
      </c>
      <c r="G109" s="88">
        <f>0+'[1]táj.1'!G109</f>
        <v>0</v>
      </c>
      <c r="H109" s="88">
        <f>5000+'[1]táj.1'!H109</f>
        <v>5000</v>
      </c>
      <c r="I109" s="88">
        <f>0+'[1]táj.1'!I109</f>
        <v>0</v>
      </c>
      <c r="J109" s="88">
        <f>0+'[1]táj.1'!J109</f>
        <v>0</v>
      </c>
      <c r="K109" s="88">
        <f>0+'[1]táj.1'!K109</f>
        <v>0</v>
      </c>
      <c r="L109" s="88">
        <f>0+'[1]táj.1'!L109</f>
        <v>0</v>
      </c>
      <c r="M109" s="88">
        <f>0+'[1]táj.1'!M109</f>
        <v>0</v>
      </c>
      <c r="N109" s="88">
        <f>0+'[1]táj.1'!N109</f>
        <v>0</v>
      </c>
      <c r="O109" s="82">
        <f>SUM(E109:N109)</f>
        <v>5000</v>
      </c>
    </row>
    <row r="110" spans="1:15" s="81" customFormat="1" ht="12.75">
      <c r="A110" s="1"/>
      <c r="B110" s="1"/>
      <c r="C110" s="101" t="s">
        <v>830</v>
      </c>
      <c r="D110" s="188">
        <v>191103</v>
      </c>
      <c r="E110" s="88">
        <f>0+'[1]táj.1'!E110</f>
        <v>0</v>
      </c>
      <c r="F110" s="88">
        <f>0+'[1]táj.1'!F110</f>
        <v>0</v>
      </c>
      <c r="G110" s="88">
        <f>0+'[1]táj.1'!G110</f>
        <v>0</v>
      </c>
      <c r="H110" s="88">
        <f>100162+'[1]táj.1'!H110</f>
        <v>100963</v>
      </c>
      <c r="I110" s="88">
        <f>0+'[1]táj.1'!I110</f>
        <v>0</v>
      </c>
      <c r="J110" s="88">
        <f>0+'[1]táj.1'!J110</f>
        <v>0</v>
      </c>
      <c r="K110" s="88">
        <f>0+'[1]táj.1'!K110</f>
        <v>0</v>
      </c>
      <c r="L110" s="88">
        <f>0+'[1]táj.1'!L110</f>
        <v>0</v>
      </c>
      <c r="M110" s="88">
        <f>0+'[1]táj.1'!M110</f>
        <v>0</v>
      </c>
      <c r="N110" s="88">
        <f>0+'[1]táj.1'!N110</f>
        <v>0</v>
      </c>
      <c r="O110" s="82">
        <f>SUM(E110:N110)</f>
        <v>100963</v>
      </c>
    </row>
    <row r="111" spans="1:15" s="81" customFormat="1" ht="12.75">
      <c r="A111" s="1"/>
      <c r="B111" s="1"/>
      <c r="C111" s="101" t="s">
        <v>1094</v>
      </c>
      <c r="D111" s="188">
        <v>196919</v>
      </c>
      <c r="E111" s="88">
        <f>0+'[1]táj.1'!E111</f>
        <v>0</v>
      </c>
      <c r="F111" s="88">
        <f>0+'[1]táj.1'!F111</f>
        <v>0</v>
      </c>
      <c r="G111" s="88">
        <f>0+'[1]táj.1'!G111</f>
        <v>0</v>
      </c>
      <c r="H111" s="88">
        <f>0+'[1]táj.1'!H111</f>
        <v>5203</v>
      </c>
      <c r="I111" s="88">
        <f>0+'[1]táj.1'!I111</f>
        <v>0</v>
      </c>
      <c r="J111" s="88">
        <f>0+'[1]táj.1'!J111</f>
        <v>0</v>
      </c>
      <c r="K111" s="88">
        <f>0+'[1]táj.1'!K111</f>
        <v>0</v>
      </c>
      <c r="L111" s="88">
        <f>0+'[1]táj.1'!L111</f>
        <v>0</v>
      </c>
      <c r="M111" s="88">
        <f>0+'[1]táj.1'!M111</f>
        <v>0</v>
      </c>
      <c r="N111" s="88">
        <f>11324967+'[1]táj.1'!N111</f>
        <v>12121000</v>
      </c>
      <c r="O111" s="82">
        <f>SUM(E111:N111)</f>
        <v>12126203</v>
      </c>
    </row>
    <row r="112" spans="1:15" s="81" customFormat="1" ht="25.5">
      <c r="A112" s="1"/>
      <c r="B112" s="1"/>
      <c r="C112" s="102" t="s">
        <v>977</v>
      </c>
      <c r="D112" s="187">
        <v>191196</v>
      </c>
      <c r="E112" s="88">
        <f>0+'[1]táj.1'!E112</f>
        <v>0</v>
      </c>
      <c r="F112" s="88">
        <f>0+'[1]táj.1'!F112</f>
        <v>0</v>
      </c>
      <c r="G112" s="88">
        <f>0+'[1]táj.1'!G112</f>
        <v>0</v>
      </c>
      <c r="H112" s="88">
        <f>0+'[1]táj.1'!H112</f>
        <v>0</v>
      </c>
      <c r="I112" s="88">
        <f>0+'[1]táj.1'!I112</f>
        <v>0</v>
      </c>
      <c r="J112" s="88">
        <f>0+'[1]táj.1'!J112</f>
        <v>0</v>
      </c>
      <c r="K112" s="88">
        <f>0+'[1]táj.1'!K112</f>
        <v>0</v>
      </c>
      <c r="L112" s="88">
        <f>0+'[1]táj.1'!L112</f>
        <v>0</v>
      </c>
      <c r="M112" s="88">
        <f>9053158+'[1]táj.1'!M112</f>
        <v>9046253</v>
      </c>
      <c r="N112" s="88">
        <f>0+'[1]táj.1'!N112</f>
        <v>0</v>
      </c>
      <c r="O112" s="82">
        <f>SUM(E112:N112)</f>
        <v>9046253</v>
      </c>
    </row>
    <row r="113" spans="1:15" s="81" customFormat="1" ht="25.5">
      <c r="A113" s="1"/>
      <c r="B113" s="1"/>
      <c r="C113" s="102" t="s">
        <v>978</v>
      </c>
      <c r="D113" s="186">
        <v>191198</v>
      </c>
      <c r="E113" s="88">
        <f>0+'[1]táj.1'!E113</f>
        <v>0</v>
      </c>
      <c r="F113" s="88">
        <f>0+'[1]táj.1'!F113</f>
        <v>0</v>
      </c>
      <c r="G113" s="88">
        <f>0+'[1]táj.1'!G113</f>
        <v>0</v>
      </c>
      <c r="H113" s="88">
        <f>0+'[1]táj.1'!H113</f>
        <v>0</v>
      </c>
      <c r="I113" s="88">
        <f>0+'[1]táj.1'!I113</f>
        <v>0</v>
      </c>
      <c r="J113" s="88">
        <f>0+'[1]táj.1'!J113</f>
        <v>0</v>
      </c>
      <c r="K113" s="88">
        <f>0+'[1]táj.1'!K113</f>
        <v>0</v>
      </c>
      <c r="L113" s="88">
        <f>0+'[1]táj.1'!L113</f>
        <v>0</v>
      </c>
      <c r="M113" s="88">
        <f>20000+'[1]táj.1'!M113</f>
        <v>20000</v>
      </c>
      <c r="N113" s="88">
        <f>0+'[1]táj.1'!N113</f>
        <v>0</v>
      </c>
      <c r="O113" s="82">
        <f>SUM(E113:N113)</f>
        <v>20000</v>
      </c>
    </row>
    <row r="114" spans="1:15" s="81" customFormat="1" ht="24.75" customHeight="1">
      <c r="A114" s="1"/>
      <c r="B114" s="1"/>
      <c r="C114" s="102" t="s">
        <v>411</v>
      </c>
      <c r="D114" s="187"/>
      <c r="E114" s="88">
        <f>0+'[1]táj.1'!E114</f>
        <v>0</v>
      </c>
      <c r="F114" s="88">
        <f>0+'[1]táj.1'!F114</f>
        <v>0</v>
      </c>
      <c r="G114" s="88">
        <f>0+'[1]táj.1'!G114</f>
        <v>0</v>
      </c>
      <c r="H114" s="88">
        <f>0+'[1]táj.1'!H114</f>
        <v>0</v>
      </c>
      <c r="I114" s="88">
        <f>0+'[1]táj.1'!I114</f>
        <v>0</v>
      </c>
      <c r="J114" s="88">
        <f>0+'[1]táj.1'!J114</f>
        <v>0</v>
      </c>
      <c r="K114" s="88">
        <f>0+'[1]táj.1'!K114</f>
        <v>0</v>
      </c>
      <c r="L114" s="88">
        <f>0+'[1]táj.1'!L114</f>
        <v>0</v>
      </c>
      <c r="M114" s="88">
        <f>0+'[1]táj.1'!M114</f>
        <v>0</v>
      </c>
      <c r="N114" s="88">
        <f>0+'[1]táj.1'!N114</f>
        <v>0</v>
      </c>
      <c r="O114" s="82"/>
    </row>
    <row r="115" spans="1:15" s="81" customFormat="1" ht="25.5">
      <c r="A115" s="1"/>
      <c r="B115" s="1"/>
      <c r="C115" s="95" t="s">
        <v>1193</v>
      </c>
      <c r="D115" s="180">
        <v>191901</v>
      </c>
      <c r="E115" s="88">
        <f>101340+'[1]táj.1'!E115</f>
        <v>104742</v>
      </c>
      <c r="F115" s="88">
        <f>0+'[1]táj.1'!F115</f>
        <v>0</v>
      </c>
      <c r="G115" s="88">
        <f>0+'[1]táj.1'!G115</f>
        <v>0</v>
      </c>
      <c r="H115" s="88">
        <f>0+'[1]táj.1'!H115</f>
        <v>0</v>
      </c>
      <c r="I115" s="88">
        <f>0+'[1]táj.1'!I115</f>
        <v>0</v>
      </c>
      <c r="J115" s="88">
        <f>0+'[1]táj.1'!J115</f>
        <v>0</v>
      </c>
      <c r="K115" s="88">
        <f>0+'[1]táj.1'!K115</f>
        <v>0</v>
      </c>
      <c r="L115" s="88">
        <f>0+'[1]táj.1'!L115</f>
        <v>0</v>
      </c>
      <c r="M115" s="88">
        <f>0+'[1]táj.1'!M115</f>
        <v>0</v>
      </c>
      <c r="N115" s="88">
        <f>0+'[1]táj.1'!N115</f>
        <v>0</v>
      </c>
      <c r="O115" s="82">
        <f aca="true" t="shared" si="8" ref="O115:O120">SUM(E115:N115)</f>
        <v>104742</v>
      </c>
    </row>
    <row r="116" spans="1:15" s="81" customFormat="1" ht="25.5">
      <c r="A116" s="1"/>
      <c r="B116" s="1"/>
      <c r="C116" s="95" t="s">
        <v>1194</v>
      </c>
      <c r="D116" s="180">
        <v>191901</v>
      </c>
      <c r="E116" s="88">
        <f>986394+'[1]táj.1'!E116</f>
        <v>986394</v>
      </c>
      <c r="F116" s="88">
        <f>0+'[1]táj.1'!F116</f>
        <v>0</v>
      </c>
      <c r="G116" s="88">
        <f>0+'[1]táj.1'!G116</f>
        <v>0</v>
      </c>
      <c r="H116" s="88">
        <f>0+'[1]táj.1'!H116</f>
        <v>0</v>
      </c>
      <c r="I116" s="88">
        <f>0+'[1]táj.1'!I116</f>
        <v>0</v>
      </c>
      <c r="J116" s="88">
        <f>0+'[1]táj.1'!J116</f>
        <v>0</v>
      </c>
      <c r="K116" s="88">
        <f>0+'[1]táj.1'!K116</f>
        <v>0</v>
      </c>
      <c r="L116" s="88">
        <f>0+'[1]táj.1'!L116</f>
        <v>0</v>
      </c>
      <c r="M116" s="88">
        <f>0+'[1]táj.1'!M116</f>
        <v>0</v>
      </c>
      <c r="N116" s="88">
        <f>0+'[1]táj.1'!N116</f>
        <v>0</v>
      </c>
      <c r="O116" s="82">
        <f t="shared" si="8"/>
        <v>986394</v>
      </c>
    </row>
    <row r="117" spans="1:15" s="81" customFormat="1" ht="24" customHeight="1">
      <c r="A117" s="1"/>
      <c r="B117" s="1"/>
      <c r="C117" s="95" t="s">
        <v>1195</v>
      </c>
      <c r="D117" s="180">
        <v>191901</v>
      </c>
      <c r="E117" s="88">
        <f>1168048+'[1]táj.1'!E117</f>
        <v>1192890</v>
      </c>
      <c r="F117" s="88">
        <f>0+'[1]táj.1'!F117</f>
        <v>0</v>
      </c>
      <c r="G117" s="88">
        <f>0+'[1]táj.1'!G117</f>
        <v>0</v>
      </c>
      <c r="H117" s="88">
        <f>0+'[1]táj.1'!H117</f>
        <v>0</v>
      </c>
      <c r="I117" s="88">
        <f>0+'[1]táj.1'!I117</f>
        <v>0</v>
      </c>
      <c r="J117" s="88">
        <f>0+'[1]táj.1'!J117</f>
        <v>0</v>
      </c>
      <c r="K117" s="88">
        <f>0+'[1]táj.1'!K117</f>
        <v>0</v>
      </c>
      <c r="L117" s="88">
        <f>0+'[1]táj.1'!L117</f>
        <v>0</v>
      </c>
      <c r="M117" s="88">
        <f>0+'[1]táj.1'!M117</f>
        <v>0</v>
      </c>
      <c r="N117" s="88">
        <f>0+'[1]táj.1'!N117</f>
        <v>0</v>
      </c>
      <c r="O117" s="82">
        <f t="shared" si="8"/>
        <v>1192890</v>
      </c>
    </row>
    <row r="118" spans="1:15" s="81" customFormat="1" ht="24" customHeight="1">
      <c r="A118" s="1"/>
      <c r="B118" s="1"/>
      <c r="C118" s="95" t="s">
        <v>1196</v>
      </c>
      <c r="D118" s="180">
        <v>191901</v>
      </c>
      <c r="E118" s="88">
        <f>715427+'[1]táj.1'!E118</f>
        <v>732766</v>
      </c>
      <c r="F118" s="88">
        <f>0+'[1]táj.1'!F118</f>
        <v>0</v>
      </c>
      <c r="G118" s="88">
        <f>0+'[1]táj.1'!G118</f>
        <v>0</v>
      </c>
      <c r="H118" s="88">
        <f>0+'[1]táj.1'!H118</f>
        <v>0</v>
      </c>
      <c r="I118" s="88">
        <f>0+'[1]táj.1'!I118</f>
        <v>0</v>
      </c>
      <c r="J118" s="88">
        <f>0+'[1]táj.1'!J118</f>
        <v>0</v>
      </c>
      <c r="K118" s="88">
        <f>0+'[1]táj.1'!K118</f>
        <v>0</v>
      </c>
      <c r="L118" s="88">
        <f>0+'[1]táj.1'!L118</f>
        <v>0</v>
      </c>
      <c r="M118" s="88">
        <f>0+'[1]táj.1'!M118</f>
        <v>0</v>
      </c>
      <c r="N118" s="88">
        <f>0+'[1]táj.1'!N118</f>
        <v>0</v>
      </c>
      <c r="O118" s="82">
        <f t="shared" si="8"/>
        <v>732766</v>
      </c>
    </row>
    <row r="119" spans="1:15" s="81" customFormat="1" ht="24" customHeight="1">
      <c r="A119" s="1"/>
      <c r="B119" s="1"/>
      <c r="C119" s="95" t="s">
        <v>1098</v>
      </c>
      <c r="D119" s="180">
        <v>191901</v>
      </c>
      <c r="E119" s="88">
        <f>2545+'[1]táj.1'!E119</f>
        <v>2545</v>
      </c>
      <c r="F119" s="88">
        <f>0+'[1]táj.1'!F119</f>
        <v>0</v>
      </c>
      <c r="G119" s="88">
        <f>0+'[1]táj.1'!G119</f>
        <v>0</v>
      </c>
      <c r="H119" s="88">
        <f>0+'[1]táj.1'!H119</f>
        <v>0</v>
      </c>
      <c r="I119" s="88">
        <f>0+'[1]táj.1'!I119</f>
        <v>0</v>
      </c>
      <c r="J119" s="88">
        <f>0+'[1]táj.1'!J119</f>
        <v>0</v>
      </c>
      <c r="K119" s="88">
        <f>0+'[1]táj.1'!K119</f>
        <v>0</v>
      </c>
      <c r="L119" s="88">
        <f>0+'[1]táj.1'!L119</f>
        <v>0</v>
      </c>
      <c r="M119" s="88">
        <f>0+'[1]táj.1'!M119</f>
        <v>0</v>
      </c>
      <c r="N119" s="88">
        <f>0+'[1]táj.1'!N119</f>
        <v>0</v>
      </c>
      <c r="O119" s="82">
        <f t="shared" si="8"/>
        <v>2545</v>
      </c>
    </row>
    <row r="120" spans="1:15" s="81" customFormat="1" ht="17.25" customHeight="1">
      <c r="A120" s="1"/>
      <c r="B120" s="1"/>
      <c r="C120" s="95" t="s">
        <v>765</v>
      </c>
      <c r="D120" s="180">
        <v>191901</v>
      </c>
      <c r="E120" s="88">
        <f>0+'[1]táj.1'!E120</f>
        <v>0</v>
      </c>
      <c r="F120" s="88">
        <f>0+'[1]táj.1'!F120</f>
        <v>0</v>
      </c>
      <c r="G120" s="88">
        <f>0+'[1]táj.1'!G120</f>
        <v>0</v>
      </c>
      <c r="H120" s="88">
        <f>0+'[1]táj.1'!H120</f>
        <v>0</v>
      </c>
      <c r="I120" s="88">
        <f>0+'[1]táj.1'!I120</f>
        <v>0</v>
      </c>
      <c r="J120" s="88">
        <f>0+'[1]táj.1'!J120</f>
        <v>0</v>
      </c>
      <c r="K120" s="88">
        <f>0+'[1]táj.1'!K120</f>
        <v>0</v>
      </c>
      <c r="L120" s="88">
        <f>0+'[1]táj.1'!L120</f>
        <v>0</v>
      </c>
      <c r="M120" s="88">
        <f>0+'[1]táj.1'!M120</f>
        <v>0</v>
      </c>
      <c r="N120" s="88">
        <f>0+'[1]táj.1'!N120</f>
        <v>553</v>
      </c>
      <c r="O120" s="82">
        <f t="shared" si="8"/>
        <v>553</v>
      </c>
    </row>
    <row r="121" spans="1:15" s="81" customFormat="1" ht="28.5" customHeight="1">
      <c r="A121" s="1"/>
      <c r="B121" s="1"/>
      <c r="C121" s="102" t="s">
        <v>916</v>
      </c>
      <c r="D121" s="187"/>
      <c r="E121" s="88">
        <f>0+'[1]táj.1'!E121</f>
        <v>0</v>
      </c>
      <c r="F121" s="88">
        <f>0+'[1]táj.1'!F121</f>
        <v>0</v>
      </c>
      <c r="G121" s="88">
        <f>0+'[1]táj.1'!G121</f>
        <v>0</v>
      </c>
      <c r="H121" s="88">
        <f>0+'[1]táj.1'!H121</f>
        <v>0</v>
      </c>
      <c r="I121" s="88">
        <f>0+'[1]táj.1'!I121</f>
        <v>0</v>
      </c>
      <c r="J121" s="88">
        <f>0+'[1]táj.1'!J121</f>
        <v>0</v>
      </c>
      <c r="K121" s="88">
        <f>0+'[1]táj.1'!K121</f>
        <v>0</v>
      </c>
      <c r="L121" s="88">
        <f>0+'[1]táj.1'!L121</f>
        <v>0</v>
      </c>
      <c r="M121" s="88">
        <f>0+'[1]táj.1'!M121</f>
        <v>0</v>
      </c>
      <c r="N121" s="88">
        <f>0+'[1]táj.1'!N121</f>
        <v>0</v>
      </c>
      <c r="O121" s="82"/>
    </row>
    <row r="122" spans="1:15" s="81" customFormat="1" ht="13.5" customHeight="1">
      <c r="A122" s="1"/>
      <c r="B122" s="1"/>
      <c r="C122" s="101" t="s">
        <v>826</v>
      </c>
      <c r="D122" s="188">
        <v>191907</v>
      </c>
      <c r="E122" s="88">
        <f>0+'[1]táj.1'!E122</f>
        <v>0</v>
      </c>
      <c r="F122" s="88">
        <f>0+'[1]táj.1'!F122</f>
        <v>0</v>
      </c>
      <c r="G122" s="88">
        <f>4100000+'[1]táj.1'!G122</f>
        <v>4100000</v>
      </c>
      <c r="H122" s="88">
        <f>0+'[1]táj.1'!H122</f>
        <v>0</v>
      </c>
      <c r="I122" s="88">
        <f>0+'[1]táj.1'!I122</f>
        <v>0</v>
      </c>
      <c r="J122" s="88">
        <f>0+'[1]táj.1'!J122</f>
        <v>0</v>
      </c>
      <c r="K122" s="88">
        <f>0+'[1]táj.1'!K122</f>
        <v>0</v>
      </c>
      <c r="L122" s="88">
        <f>0+'[1]táj.1'!L122</f>
        <v>0</v>
      </c>
      <c r="M122" s="88">
        <f>0+'[1]táj.1'!M122</f>
        <v>0</v>
      </c>
      <c r="N122" s="88">
        <f>0+'[1]táj.1'!N122</f>
        <v>0</v>
      </c>
      <c r="O122" s="82">
        <f aca="true" t="shared" si="9" ref="O122:O127">SUM(E122:N122)</f>
        <v>4100000</v>
      </c>
    </row>
    <row r="123" spans="1:15" s="81" customFormat="1" ht="13.5" customHeight="1">
      <c r="A123" s="1"/>
      <c r="B123" s="1"/>
      <c r="C123" s="101" t="s">
        <v>827</v>
      </c>
      <c r="D123" s="188">
        <v>191907</v>
      </c>
      <c r="E123" s="88">
        <f>0+'[1]táj.1'!E123</f>
        <v>0</v>
      </c>
      <c r="F123" s="88">
        <f>0+'[1]táj.1'!F123</f>
        <v>0</v>
      </c>
      <c r="G123" s="88">
        <f>264000+'[1]táj.1'!G123</f>
        <v>264000</v>
      </c>
      <c r="H123" s="88">
        <f>0+'[1]táj.1'!H123</f>
        <v>0</v>
      </c>
      <c r="I123" s="88">
        <f>0+'[1]táj.1'!I123</f>
        <v>0</v>
      </c>
      <c r="J123" s="88">
        <f>0+'[1]táj.1'!J123</f>
        <v>0</v>
      </c>
      <c r="K123" s="88">
        <f>0+'[1]táj.1'!K123</f>
        <v>0</v>
      </c>
      <c r="L123" s="88">
        <f>0+'[1]táj.1'!L123</f>
        <v>0</v>
      </c>
      <c r="M123" s="88">
        <f>0+'[1]táj.1'!M123</f>
        <v>0</v>
      </c>
      <c r="N123" s="88">
        <f>0+'[1]táj.1'!N123</f>
        <v>0</v>
      </c>
      <c r="O123" s="82">
        <f t="shared" si="9"/>
        <v>264000</v>
      </c>
    </row>
    <row r="124" spans="1:15" s="81" customFormat="1" ht="13.5" customHeight="1">
      <c r="A124" s="1"/>
      <c r="B124" s="1"/>
      <c r="C124" s="101" t="s">
        <v>828</v>
      </c>
      <c r="D124" s="188">
        <v>191907</v>
      </c>
      <c r="E124" s="88">
        <f>0+'[1]táj.1'!E124</f>
        <v>0</v>
      </c>
      <c r="F124" s="88">
        <f>0+'[1]táj.1'!F124</f>
        <v>0</v>
      </c>
      <c r="G124" s="88">
        <f>20000+'[1]táj.1'!G124</f>
        <v>20000</v>
      </c>
      <c r="H124" s="88">
        <f>0+'[1]táj.1'!H124</f>
        <v>0</v>
      </c>
      <c r="I124" s="88">
        <f>0+'[1]táj.1'!I124</f>
        <v>0</v>
      </c>
      <c r="J124" s="88">
        <f>0+'[1]táj.1'!J124</f>
        <v>0</v>
      </c>
      <c r="K124" s="88">
        <f>0+'[1]táj.1'!K124</f>
        <v>0</v>
      </c>
      <c r="L124" s="88">
        <f>0+'[1]táj.1'!L124</f>
        <v>0</v>
      </c>
      <c r="M124" s="88">
        <f>0+'[1]táj.1'!M124</f>
        <v>0</v>
      </c>
      <c r="N124" s="88">
        <f>0+'[1]táj.1'!N124</f>
        <v>0</v>
      </c>
      <c r="O124" s="82">
        <f t="shared" si="9"/>
        <v>20000</v>
      </c>
    </row>
    <row r="125" spans="1:15" s="81" customFormat="1" ht="13.5" customHeight="1">
      <c r="A125" s="1"/>
      <c r="B125" s="1"/>
      <c r="C125" s="101" t="s">
        <v>829</v>
      </c>
      <c r="D125" s="188">
        <v>191907</v>
      </c>
      <c r="E125" s="88">
        <f>0+'[1]táj.1'!E125</f>
        <v>0</v>
      </c>
      <c r="F125" s="88">
        <f>0+'[1]táj.1'!F125</f>
        <v>0</v>
      </c>
      <c r="G125" s="88">
        <f>5000+'[1]táj.1'!G125</f>
        <v>5000</v>
      </c>
      <c r="H125" s="88">
        <f>0+'[1]táj.1'!H125</f>
        <v>0</v>
      </c>
      <c r="I125" s="88">
        <f>0+'[1]táj.1'!I125</f>
        <v>0</v>
      </c>
      <c r="J125" s="88">
        <f>0+'[1]táj.1'!J125</f>
        <v>0</v>
      </c>
      <c r="K125" s="88">
        <f>0+'[1]táj.1'!K125</f>
        <v>0</v>
      </c>
      <c r="L125" s="88">
        <f>0+'[1]táj.1'!L125</f>
        <v>0</v>
      </c>
      <c r="M125" s="88">
        <f>0+'[1]táj.1'!M125</f>
        <v>0</v>
      </c>
      <c r="N125" s="88">
        <f>0+'[1]táj.1'!N125</f>
        <v>0</v>
      </c>
      <c r="O125" s="82">
        <f t="shared" si="9"/>
        <v>5000</v>
      </c>
    </row>
    <row r="126" spans="1:15" s="81" customFormat="1" ht="13.5" customHeight="1">
      <c r="A126" s="1"/>
      <c r="B126" s="1"/>
      <c r="C126" s="101" t="s">
        <v>119</v>
      </c>
      <c r="D126" s="188">
        <v>191907</v>
      </c>
      <c r="E126" s="88">
        <f>0+'[1]táj.1'!E126</f>
        <v>0</v>
      </c>
      <c r="F126" s="88">
        <f>0+'[1]táj.1'!F126</f>
        <v>0</v>
      </c>
      <c r="G126" s="88">
        <f>1000000+'[1]táj.1'!G126</f>
        <v>1000000</v>
      </c>
      <c r="H126" s="88">
        <f>0+'[1]táj.1'!H126</f>
        <v>0</v>
      </c>
      <c r="I126" s="88">
        <f>0+'[1]táj.1'!I126</f>
        <v>0</v>
      </c>
      <c r="J126" s="88">
        <f>0+'[1]táj.1'!J126</f>
        <v>0</v>
      </c>
      <c r="K126" s="88">
        <f>0+'[1]táj.1'!K126</f>
        <v>0</v>
      </c>
      <c r="L126" s="88">
        <f>0+'[1]táj.1'!L126</f>
        <v>0</v>
      </c>
      <c r="M126" s="88">
        <f>0+'[1]táj.1'!M126</f>
        <v>0</v>
      </c>
      <c r="N126" s="88">
        <f>0+'[1]táj.1'!N126</f>
        <v>0</v>
      </c>
      <c r="O126" s="82">
        <f t="shared" si="9"/>
        <v>1000000</v>
      </c>
    </row>
    <row r="127" spans="1:15" s="81" customFormat="1" ht="13.5" customHeight="1">
      <c r="A127" s="1"/>
      <c r="B127" s="1"/>
      <c r="C127" s="101" t="s">
        <v>120</v>
      </c>
      <c r="D127" s="188">
        <v>191907</v>
      </c>
      <c r="E127" s="88">
        <f>0+'[1]táj.1'!E127</f>
        <v>0</v>
      </c>
      <c r="F127" s="88">
        <f>0+'[1]táj.1'!F127</f>
        <v>0</v>
      </c>
      <c r="G127" s="88">
        <f>20000+'[1]táj.1'!G127</f>
        <v>20000</v>
      </c>
      <c r="H127" s="88">
        <f>0+'[1]táj.1'!H127</f>
        <v>0</v>
      </c>
      <c r="I127" s="88">
        <f>0+'[1]táj.1'!I127</f>
        <v>0</v>
      </c>
      <c r="J127" s="88">
        <f>0+'[1]táj.1'!J127</f>
        <v>0</v>
      </c>
      <c r="K127" s="88">
        <f>0+'[1]táj.1'!K127</f>
        <v>0</v>
      </c>
      <c r="L127" s="88">
        <f>0+'[1]táj.1'!L127</f>
        <v>0</v>
      </c>
      <c r="M127" s="88">
        <f>0+'[1]táj.1'!M127</f>
        <v>0</v>
      </c>
      <c r="N127" s="88">
        <f>0+'[1]táj.1'!N127</f>
        <v>0</v>
      </c>
      <c r="O127" s="82">
        <f t="shared" si="9"/>
        <v>20000</v>
      </c>
    </row>
    <row r="128" spans="1:15" s="81" customFormat="1" ht="21.75" customHeight="1">
      <c r="A128" s="1"/>
      <c r="B128" s="1"/>
      <c r="C128" s="102" t="s">
        <v>728</v>
      </c>
      <c r="D128" s="188"/>
      <c r="E128" s="88">
        <f>0+'[1]táj.1'!E128</f>
        <v>0</v>
      </c>
      <c r="F128" s="88">
        <f>0+'[1]táj.1'!F128</f>
        <v>0</v>
      </c>
      <c r="G128" s="88">
        <f>0+'[1]táj.1'!G128</f>
        <v>0</v>
      </c>
      <c r="H128" s="88">
        <f>0+'[1]táj.1'!H128</f>
        <v>0</v>
      </c>
      <c r="I128" s="88">
        <f>0+'[1]táj.1'!I128</f>
        <v>0</v>
      </c>
      <c r="J128" s="88">
        <f>0+'[1]táj.1'!J128</f>
        <v>0</v>
      </c>
      <c r="K128" s="88">
        <f>0+'[1]táj.1'!K128</f>
        <v>0</v>
      </c>
      <c r="L128" s="88">
        <f>0+'[1]táj.1'!L128</f>
        <v>0</v>
      </c>
      <c r="M128" s="88">
        <f>0+'[1]táj.1'!M128</f>
        <v>0</v>
      </c>
      <c r="N128" s="88">
        <f>0+'[1]táj.1'!N128</f>
        <v>0</v>
      </c>
      <c r="O128" s="82"/>
    </row>
    <row r="129" spans="1:15" s="81" customFormat="1" ht="22.5" customHeight="1">
      <c r="A129" s="1"/>
      <c r="B129" s="1"/>
      <c r="C129" s="122" t="s">
        <v>342</v>
      </c>
      <c r="D129" s="11">
        <v>191607</v>
      </c>
      <c r="E129" s="88">
        <f>8000+'[1]táj.1'!E129</f>
        <v>8000</v>
      </c>
      <c r="F129" s="88">
        <f>0+'[1]táj.1'!F129</f>
        <v>0</v>
      </c>
      <c r="G129" s="88">
        <f>0+'[1]táj.1'!G129</f>
        <v>0</v>
      </c>
      <c r="H129" s="88">
        <f>0+'[1]táj.1'!H129</f>
        <v>0</v>
      </c>
      <c r="I129" s="88">
        <f>0+'[1]táj.1'!I129</f>
        <v>0</v>
      </c>
      <c r="J129" s="88">
        <f>0+'[1]táj.1'!J129</f>
        <v>0</v>
      </c>
      <c r="K129" s="88">
        <f>0+'[1]táj.1'!K129</f>
        <v>0</v>
      </c>
      <c r="L129" s="88">
        <f>0+'[1]táj.1'!L129</f>
        <v>0</v>
      </c>
      <c r="M129" s="88">
        <f>0+'[1]táj.1'!M129</f>
        <v>0</v>
      </c>
      <c r="N129" s="88">
        <f>0+'[1]táj.1'!N129</f>
        <v>0</v>
      </c>
      <c r="O129" s="82">
        <f>SUM(E129:N129)</f>
        <v>8000</v>
      </c>
    </row>
    <row r="130" spans="1:15" s="81" customFormat="1" ht="24.75" customHeight="1">
      <c r="A130" s="1"/>
      <c r="B130" s="1"/>
      <c r="C130" s="95" t="s">
        <v>917</v>
      </c>
      <c r="D130" s="198"/>
      <c r="E130" s="88">
        <f>0+'[1]táj.1'!E130</f>
        <v>0</v>
      </c>
      <c r="F130" s="88">
        <f>0+'[1]táj.1'!F130</f>
        <v>0</v>
      </c>
      <c r="G130" s="88">
        <f>0+'[1]táj.1'!G130</f>
        <v>0</v>
      </c>
      <c r="H130" s="88">
        <f>0+'[1]táj.1'!H130</f>
        <v>0</v>
      </c>
      <c r="I130" s="88">
        <f>0+'[1]táj.1'!I130</f>
        <v>0</v>
      </c>
      <c r="J130" s="88">
        <f>0+'[1]táj.1'!J130</f>
        <v>0</v>
      </c>
      <c r="K130" s="88">
        <f>0+'[1]táj.1'!K130</f>
        <v>0</v>
      </c>
      <c r="L130" s="88">
        <f>0+'[1]táj.1'!L130</f>
        <v>0</v>
      </c>
      <c r="M130" s="88">
        <f>0+'[1]táj.1'!M130</f>
        <v>0</v>
      </c>
      <c r="N130" s="88">
        <f>0+'[1]táj.1'!N130</f>
        <v>0</v>
      </c>
      <c r="O130" s="82"/>
    </row>
    <row r="131" spans="1:15" s="81" customFormat="1" ht="29.25" customHeight="1">
      <c r="A131" s="1"/>
      <c r="B131" s="1"/>
      <c r="C131" s="114" t="s">
        <v>413</v>
      </c>
      <c r="D131" s="198">
        <v>191158</v>
      </c>
      <c r="E131" s="88">
        <f>19000+'[1]táj.1'!E131</f>
        <v>19000</v>
      </c>
      <c r="F131" s="88">
        <f>0+'[1]táj.1'!F131</f>
        <v>0</v>
      </c>
      <c r="G131" s="88">
        <f>0+'[1]táj.1'!G131</f>
        <v>0</v>
      </c>
      <c r="H131" s="88">
        <f>0+'[1]táj.1'!H131</f>
        <v>0</v>
      </c>
      <c r="I131" s="88">
        <f>0+'[1]táj.1'!I131</f>
        <v>0</v>
      </c>
      <c r="J131" s="88">
        <f>0+'[1]táj.1'!J131</f>
        <v>0</v>
      </c>
      <c r="K131" s="88">
        <f>0+'[1]táj.1'!K131</f>
        <v>0</v>
      </c>
      <c r="L131" s="88">
        <f>0+'[1]táj.1'!L131</f>
        <v>0</v>
      </c>
      <c r="M131" s="88">
        <f>0+'[1]táj.1'!M131</f>
        <v>0</v>
      </c>
      <c r="N131" s="88">
        <f>0+'[1]táj.1'!N131</f>
        <v>0</v>
      </c>
      <c r="O131" s="82">
        <f>SUM(E131:N131)</f>
        <v>19000</v>
      </c>
    </row>
    <row r="132" spans="1:15" s="81" customFormat="1" ht="15" customHeight="1">
      <c r="A132" s="1"/>
      <c r="B132" s="1"/>
      <c r="C132" s="114" t="s">
        <v>376</v>
      </c>
      <c r="D132" s="198"/>
      <c r="E132" s="88">
        <f>0+'[1]táj.1'!E132</f>
        <v>0</v>
      </c>
      <c r="F132" s="88">
        <f>0+'[1]táj.1'!F132</f>
        <v>0</v>
      </c>
      <c r="G132" s="88">
        <f>0+'[1]táj.1'!G132</f>
        <v>0</v>
      </c>
      <c r="H132" s="88">
        <f>0+'[1]táj.1'!H132</f>
        <v>0</v>
      </c>
      <c r="I132" s="88">
        <f>0+'[1]táj.1'!I132</f>
        <v>0</v>
      </c>
      <c r="J132" s="88">
        <f>0+'[1]táj.1'!J132</f>
        <v>0</v>
      </c>
      <c r="K132" s="88">
        <f>0+'[1]táj.1'!K132</f>
        <v>0</v>
      </c>
      <c r="L132" s="88">
        <f>0+'[1]táj.1'!L132</f>
        <v>0</v>
      </c>
      <c r="M132" s="88">
        <f>0+'[1]táj.1'!M132</f>
        <v>0</v>
      </c>
      <c r="N132" s="88">
        <f>0+'[1]táj.1'!N132</f>
        <v>0</v>
      </c>
      <c r="O132" s="82"/>
    </row>
    <row r="133" spans="1:15" s="81" customFormat="1" ht="24.75" customHeight="1">
      <c r="A133" s="1"/>
      <c r="B133" s="1"/>
      <c r="C133" s="102" t="s">
        <v>122</v>
      </c>
      <c r="D133" s="187">
        <v>191906</v>
      </c>
      <c r="E133" s="88">
        <f>18425+'[1]táj.1'!E133</f>
        <v>18425</v>
      </c>
      <c r="F133" s="88">
        <f>0+'[1]táj.1'!F133</f>
        <v>0</v>
      </c>
      <c r="G133" s="88">
        <f>0+'[1]táj.1'!G133</f>
        <v>0</v>
      </c>
      <c r="H133" s="88">
        <f>0+'[1]táj.1'!H133</f>
        <v>0</v>
      </c>
      <c r="I133" s="88">
        <f>0+'[1]táj.1'!I133</f>
        <v>0</v>
      </c>
      <c r="J133" s="88">
        <f>0+'[1]táj.1'!J133</f>
        <v>0</v>
      </c>
      <c r="K133" s="88">
        <f>0+'[1]táj.1'!K133</f>
        <v>0</v>
      </c>
      <c r="L133" s="88">
        <f>0+'[1]táj.1'!L133</f>
        <v>0</v>
      </c>
      <c r="M133" s="88">
        <f>0+'[1]táj.1'!M133</f>
        <v>0</v>
      </c>
      <c r="N133" s="88">
        <f>0+'[1]táj.1'!N133</f>
        <v>0</v>
      </c>
      <c r="O133" s="82">
        <f>SUM(E133:N133)</f>
        <v>18425</v>
      </c>
    </row>
    <row r="134" spans="1:15" s="81" customFormat="1" ht="17.25" customHeight="1">
      <c r="A134" s="1"/>
      <c r="B134" s="1"/>
      <c r="C134" s="132" t="s">
        <v>816</v>
      </c>
      <c r="D134" s="87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2">
        <f>SUM(E134:N134)</f>
        <v>0</v>
      </c>
    </row>
    <row r="135" spans="1:15" s="81" customFormat="1" ht="15.75" customHeight="1">
      <c r="A135" s="1"/>
      <c r="B135" s="1"/>
      <c r="C135" s="132" t="s">
        <v>896</v>
      </c>
      <c r="D135" s="86">
        <v>191104</v>
      </c>
      <c r="E135" s="88">
        <f>0+'[1]táj.1'!E135</f>
        <v>0</v>
      </c>
      <c r="F135" s="88">
        <f>0+'[1]táj.1'!F135</f>
        <v>0</v>
      </c>
      <c r="G135" s="88">
        <f>0+'[1]táj.1'!G135</f>
        <v>0</v>
      </c>
      <c r="H135" s="88">
        <f>0+'[1]táj.1'!H135</f>
        <v>14</v>
      </c>
      <c r="I135" s="88">
        <f>0+'[1]táj.1'!I135</f>
        <v>0</v>
      </c>
      <c r="J135" s="88">
        <f>0+'[1]táj.1'!J135</f>
        <v>0</v>
      </c>
      <c r="K135" s="88">
        <f>0+'[1]táj.1'!K135</f>
        <v>0</v>
      </c>
      <c r="L135" s="88">
        <f>0+'[1]táj.1'!L135</f>
        <v>0</v>
      </c>
      <c r="M135" s="88">
        <f>0+'[1]táj.1'!M135</f>
        <v>0</v>
      </c>
      <c r="N135" s="88">
        <f>0+'[1]táj.1'!N135</f>
        <v>0</v>
      </c>
      <c r="O135" s="82">
        <f>SUM(E135:N135)</f>
        <v>14</v>
      </c>
    </row>
    <row r="136" spans="1:15" s="81" customFormat="1" ht="15.75" customHeight="1">
      <c r="A136" s="2"/>
      <c r="B136" s="83"/>
      <c r="C136" s="103" t="s">
        <v>573</v>
      </c>
      <c r="D136" s="83"/>
      <c r="E136" s="84">
        <f aca="true" t="shared" si="10" ref="E136:O136">SUM(E106:E135)</f>
        <v>3064762</v>
      </c>
      <c r="F136" s="84">
        <f t="shared" si="10"/>
        <v>0</v>
      </c>
      <c r="G136" s="84">
        <f t="shared" si="10"/>
        <v>5409000</v>
      </c>
      <c r="H136" s="84">
        <f t="shared" si="10"/>
        <v>111180</v>
      </c>
      <c r="I136" s="84">
        <f t="shared" si="10"/>
        <v>0</v>
      </c>
      <c r="J136" s="84">
        <f t="shared" si="10"/>
        <v>0</v>
      </c>
      <c r="K136" s="84">
        <f t="shared" si="10"/>
        <v>0</v>
      </c>
      <c r="L136" s="84">
        <f t="shared" si="10"/>
        <v>190999</v>
      </c>
      <c r="M136" s="84">
        <f t="shared" si="10"/>
        <v>9066253</v>
      </c>
      <c r="N136" s="84">
        <f t="shared" si="10"/>
        <v>12121553</v>
      </c>
      <c r="O136" s="84">
        <f t="shared" si="10"/>
        <v>29963747</v>
      </c>
    </row>
    <row r="137" spans="1:15" s="81" customFormat="1" ht="27.75" customHeight="1">
      <c r="A137" s="1">
        <v>1</v>
      </c>
      <c r="B137" s="181">
        <v>20</v>
      </c>
      <c r="C137" s="95" t="s">
        <v>736</v>
      </c>
      <c r="D137" s="180"/>
      <c r="E137" s="94"/>
      <c r="F137" s="620"/>
      <c r="G137" s="620"/>
      <c r="H137" s="620"/>
      <c r="I137" s="620"/>
      <c r="J137" s="620"/>
      <c r="K137" s="620"/>
      <c r="L137" s="620"/>
      <c r="M137" s="620"/>
      <c r="N137" s="620"/>
      <c r="O137" s="620"/>
    </row>
    <row r="138" spans="1:15" s="81" customFormat="1" ht="15" customHeight="1">
      <c r="A138" s="2"/>
      <c r="B138" s="83"/>
      <c r="C138" s="104" t="s">
        <v>710</v>
      </c>
      <c r="D138" s="194">
        <v>201901</v>
      </c>
      <c r="E138" s="179"/>
      <c r="F138" s="84"/>
      <c r="G138" s="84"/>
      <c r="H138" s="84"/>
      <c r="I138" s="84"/>
      <c r="J138" s="84"/>
      <c r="K138" s="84"/>
      <c r="L138" s="84"/>
      <c r="M138" s="84"/>
      <c r="N138" s="84"/>
      <c r="O138" s="84">
        <f>SUM(E138:N138)</f>
        <v>0</v>
      </c>
    </row>
    <row r="139" spans="1:15" s="81" customFormat="1" ht="15" customHeight="1">
      <c r="A139" s="1">
        <v>1</v>
      </c>
      <c r="B139" s="181">
        <v>22</v>
      </c>
      <c r="C139" s="170" t="s">
        <v>214</v>
      </c>
      <c r="D139" s="181"/>
      <c r="E139" s="620"/>
      <c r="F139" s="620"/>
      <c r="G139" s="620"/>
      <c r="H139" s="620"/>
      <c r="I139" s="620"/>
      <c r="J139" s="620"/>
      <c r="K139" s="620"/>
      <c r="L139" s="620"/>
      <c r="M139" s="620"/>
      <c r="N139" s="620"/>
      <c r="O139" s="620"/>
    </row>
    <row r="140" spans="1:15" s="81" customFormat="1" ht="15" customHeight="1">
      <c r="A140" s="1"/>
      <c r="B140" s="181"/>
      <c r="C140" s="101" t="s">
        <v>766</v>
      </c>
      <c r="D140" s="181"/>
      <c r="E140" s="620"/>
      <c r="F140" s="620"/>
      <c r="G140" s="620"/>
      <c r="H140" s="620"/>
      <c r="I140" s="620"/>
      <c r="J140" s="620"/>
      <c r="K140" s="620"/>
      <c r="L140" s="620"/>
      <c r="M140" s="620"/>
      <c r="N140" s="620"/>
      <c r="O140" s="620"/>
    </row>
    <row r="141" spans="1:15" s="81" customFormat="1" ht="15" customHeight="1">
      <c r="A141" s="1"/>
      <c r="B141" s="181"/>
      <c r="C141" s="648" t="s">
        <v>1409</v>
      </c>
      <c r="D141" s="1">
        <v>121518</v>
      </c>
      <c r="E141" s="82">
        <f>0+'[1]táj.1'!E141</f>
        <v>0</v>
      </c>
      <c r="F141" s="82">
        <f>0+'[1]táj.1'!F141</f>
        <v>0</v>
      </c>
      <c r="G141" s="82">
        <f>0+'[1]táj.1'!G141</f>
        <v>0</v>
      </c>
      <c r="H141" s="82">
        <f>0+'[1]táj.1'!H141</f>
        <v>0</v>
      </c>
      <c r="I141" s="82">
        <f>0+'[1]táj.1'!I141</f>
        <v>0</v>
      </c>
      <c r="J141" s="82">
        <f>0+'[1]táj.1'!J141</f>
        <v>322</v>
      </c>
      <c r="K141" s="82">
        <f>0+'[1]táj.1'!K141</f>
        <v>0</v>
      </c>
      <c r="L141" s="82">
        <f>0+'[1]táj.1'!L141</f>
        <v>0</v>
      </c>
      <c r="M141" s="82">
        <f>0+'[1]táj.1'!M141</f>
        <v>0</v>
      </c>
      <c r="N141" s="82">
        <f>0+'[1]táj.1'!N141</f>
        <v>0</v>
      </c>
      <c r="O141" s="82">
        <f>SUM(E141:N141)</f>
        <v>322</v>
      </c>
    </row>
    <row r="142" spans="1:15" s="81" customFormat="1" ht="24" customHeight="1">
      <c r="A142" s="1"/>
      <c r="B142" s="181"/>
      <c r="C142" s="114" t="s">
        <v>746</v>
      </c>
      <c r="D142" s="181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>
        <f>SUM(E142:N142)</f>
        <v>0</v>
      </c>
    </row>
    <row r="143" spans="1:15" s="81" customFormat="1" ht="15" customHeight="1">
      <c r="A143" s="1"/>
      <c r="B143" s="181"/>
      <c r="C143" s="11" t="s">
        <v>767</v>
      </c>
      <c r="D143" s="1">
        <v>222917</v>
      </c>
      <c r="E143" s="82">
        <f>0+'[1]táj.1'!E143</f>
        <v>0</v>
      </c>
      <c r="F143" s="82">
        <f>0+'[1]táj.1'!F143</f>
        <v>0</v>
      </c>
      <c r="G143" s="82">
        <f>0+'[1]táj.1'!G143</f>
        <v>0</v>
      </c>
      <c r="H143" s="82">
        <f>0+'[1]táj.1'!H143</f>
        <v>1771</v>
      </c>
      <c r="I143" s="82">
        <f>0+'[1]táj.1'!I143</f>
        <v>0</v>
      </c>
      <c r="J143" s="82">
        <f>0+'[1]táj.1'!J143</f>
        <v>0</v>
      </c>
      <c r="K143" s="82">
        <f>0+'[1]táj.1'!K143</f>
        <v>3124</v>
      </c>
      <c r="L143" s="82">
        <f>0+'[1]táj.1'!L143</f>
        <v>0</v>
      </c>
      <c r="M143" s="82">
        <f>0+'[1]táj.1'!M143</f>
        <v>0</v>
      </c>
      <c r="N143" s="82">
        <f>0+'[1]táj.1'!N143</f>
        <v>0</v>
      </c>
      <c r="O143" s="82">
        <f>SUM(E143:N143)</f>
        <v>4895</v>
      </c>
    </row>
    <row r="144" spans="1:15" s="81" customFormat="1" ht="15" customHeight="1">
      <c r="A144" s="1"/>
      <c r="B144" s="181"/>
      <c r="C144" s="101" t="s">
        <v>728</v>
      </c>
      <c r="D144" s="181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s="81" customFormat="1" ht="15" customHeight="1">
      <c r="A145" s="1"/>
      <c r="B145" s="181"/>
      <c r="C145" s="262" t="s">
        <v>304</v>
      </c>
      <c r="D145" s="1">
        <v>221912</v>
      </c>
      <c r="E145" s="82">
        <f>0+'[1]táj.1'!E145</f>
        <v>0</v>
      </c>
      <c r="F145" s="82">
        <f>0+'[1]táj.1'!F145</f>
        <v>0</v>
      </c>
      <c r="G145" s="82">
        <f>0+'[1]táj.1'!G145</f>
        <v>0</v>
      </c>
      <c r="H145" s="82">
        <f>0+'[1]táj.1'!H145</f>
        <v>38</v>
      </c>
      <c r="I145" s="82">
        <f>0+'[1]táj.1'!I145</f>
        <v>0</v>
      </c>
      <c r="J145" s="82">
        <f>0+'[1]táj.1'!J145</f>
        <v>0</v>
      </c>
      <c r="K145" s="82">
        <f>0+'[1]táj.1'!K145</f>
        <v>0</v>
      </c>
      <c r="L145" s="82">
        <f>0+'[1]táj.1'!L145</f>
        <v>0</v>
      </c>
      <c r="M145" s="82">
        <f>0+'[1]táj.1'!M145</f>
        <v>0</v>
      </c>
      <c r="N145" s="82">
        <f>0+'[1]táj.1'!N145</f>
        <v>0</v>
      </c>
      <c r="O145" s="82">
        <f>0+'[1]táj.1'!O145</f>
        <v>38</v>
      </c>
    </row>
    <row r="146" spans="1:15" s="81" customFormat="1" ht="15" customHeight="1">
      <c r="A146" s="2"/>
      <c r="B146" s="83"/>
      <c r="C146" s="103" t="s">
        <v>1265</v>
      </c>
      <c r="D146" s="83"/>
      <c r="E146" s="84">
        <f aca="true" t="shared" si="11" ref="E146:O146">SUM(E141:E145)</f>
        <v>0</v>
      </c>
      <c r="F146" s="84">
        <f t="shared" si="11"/>
        <v>0</v>
      </c>
      <c r="G146" s="84">
        <f t="shared" si="11"/>
        <v>0</v>
      </c>
      <c r="H146" s="84">
        <f t="shared" si="11"/>
        <v>1809</v>
      </c>
      <c r="I146" s="84">
        <f t="shared" si="11"/>
        <v>0</v>
      </c>
      <c r="J146" s="84">
        <f t="shared" si="11"/>
        <v>322</v>
      </c>
      <c r="K146" s="84">
        <f t="shared" si="11"/>
        <v>3124</v>
      </c>
      <c r="L146" s="84">
        <f t="shared" si="11"/>
        <v>0</v>
      </c>
      <c r="M146" s="84">
        <f t="shared" si="11"/>
        <v>0</v>
      </c>
      <c r="N146" s="84">
        <f t="shared" si="11"/>
        <v>0</v>
      </c>
      <c r="O146" s="84">
        <f t="shared" si="11"/>
        <v>5255</v>
      </c>
    </row>
    <row r="147" spans="1:15" s="81" customFormat="1" ht="24.75" customHeight="1">
      <c r="A147" s="83"/>
      <c r="B147" s="83"/>
      <c r="C147" s="177" t="s">
        <v>229</v>
      </c>
      <c r="D147" s="191"/>
      <c r="E147" s="84">
        <f aca="true" t="shared" si="12" ref="E147:O147">SUM(E8+E19+E23+E39+E70+E96+E104+E136+E138+E146)</f>
        <v>3348032</v>
      </c>
      <c r="F147" s="84">
        <f t="shared" si="12"/>
        <v>6296455</v>
      </c>
      <c r="G147" s="84">
        <f t="shared" si="12"/>
        <v>5414000</v>
      </c>
      <c r="H147" s="84">
        <f t="shared" si="12"/>
        <v>5049485</v>
      </c>
      <c r="I147" s="84">
        <f t="shared" si="12"/>
        <v>226720</v>
      </c>
      <c r="J147" s="84">
        <f t="shared" si="12"/>
        <v>4822</v>
      </c>
      <c r="K147" s="84">
        <f t="shared" si="12"/>
        <v>199524</v>
      </c>
      <c r="L147" s="84">
        <f t="shared" si="12"/>
        <v>190999</v>
      </c>
      <c r="M147" s="84">
        <f t="shared" si="12"/>
        <v>9212208</v>
      </c>
      <c r="N147" s="84">
        <f t="shared" si="12"/>
        <v>12250861</v>
      </c>
      <c r="O147" s="84">
        <f t="shared" si="12"/>
        <v>42193106</v>
      </c>
    </row>
    <row r="148" spans="1:15" s="81" customFormat="1" ht="15.75" customHeight="1">
      <c r="A148" s="1">
        <v>2</v>
      </c>
      <c r="B148" s="1"/>
      <c r="C148" s="195" t="s">
        <v>1186</v>
      </c>
      <c r="D148" s="47"/>
      <c r="E148" s="82">
        <f>331544+'[1]táj.3'!C21</f>
        <v>332844</v>
      </c>
      <c r="F148" s="82">
        <f>0+'[1]táj.3'!D21</f>
        <v>10100</v>
      </c>
      <c r="G148" s="82">
        <f>0+'[1]táj.3'!E21</f>
        <v>0</v>
      </c>
      <c r="H148" s="82">
        <f>1241889+'[1]táj.3'!F21</f>
        <v>1251889</v>
      </c>
      <c r="I148" s="82">
        <f>0+'[1]táj.3'!G21</f>
        <v>0</v>
      </c>
      <c r="J148" s="82">
        <f>89449+'[1]táj.3'!H21</f>
        <v>89449</v>
      </c>
      <c r="K148" s="82">
        <f>0+'[1]táj.3'!I21</f>
        <v>0</v>
      </c>
      <c r="L148" s="82"/>
      <c r="M148" s="82">
        <f>308206+'[1]táj.3'!J21</f>
        <v>308206</v>
      </c>
      <c r="N148" s="82"/>
      <c r="O148" s="82">
        <f>SUM(E148:N148)</f>
        <v>1992488</v>
      </c>
    </row>
    <row r="149" spans="1:15" s="81" customFormat="1" ht="15.75" customHeight="1">
      <c r="A149" s="83"/>
      <c r="B149" s="83"/>
      <c r="C149" s="196" t="s">
        <v>1174</v>
      </c>
      <c r="D149" s="83"/>
      <c r="E149" s="84">
        <f>SUM(E147:E148)</f>
        <v>3680876</v>
      </c>
      <c r="F149" s="84">
        <f>SUM(F147:F148)</f>
        <v>6306555</v>
      </c>
      <c r="G149" s="84">
        <f aca="true" t="shared" si="13" ref="G149:O149">SUM(G147:G148)+G137</f>
        <v>5414000</v>
      </c>
      <c r="H149" s="84">
        <f t="shared" si="13"/>
        <v>6301374</v>
      </c>
      <c r="I149" s="84">
        <f t="shared" si="13"/>
        <v>226720</v>
      </c>
      <c r="J149" s="84">
        <f t="shared" si="13"/>
        <v>94271</v>
      </c>
      <c r="K149" s="84">
        <f t="shared" si="13"/>
        <v>199524</v>
      </c>
      <c r="L149" s="84">
        <f t="shared" si="13"/>
        <v>190999</v>
      </c>
      <c r="M149" s="84">
        <f t="shared" si="13"/>
        <v>9520414</v>
      </c>
      <c r="N149" s="84">
        <f t="shared" si="13"/>
        <v>12250861</v>
      </c>
      <c r="O149" s="84">
        <f t="shared" si="13"/>
        <v>44185594</v>
      </c>
    </row>
    <row r="150" ht="12.75">
      <c r="O150" s="303"/>
    </row>
    <row r="151" ht="12.75">
      <c r="O151" s="303"/>
    </row>
    <row r="152" ht="12.75">
      <c r="O152" s="303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5" r:id="rId1"/>
  <headerFooter alignWithMargins="0">
    <oddHeader>&amp;C&amp;"Times New Roman,Félkövér dőlt" ZALAEGERSZEG MEGYEI JOGÚ VÁROS ÖNKORMÁNYZATA
BEVÉTELI ELŐIRÁNYZATAI  2019.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workbookViewId="0" topLeftCell="A1">
      <pane ySplit="2" topLeftCell="BM6" activePane="bottomLeft" state="frozen"/>
      <selection pane="topLeft" activeCell="B1" sqref="B1"/>
      <selection pane="bottomLeft" activeCell="I31" sqref="I31"/>
    </sheetView>
  </sheetViews>
  <sheetFormatPr defaultColWidth="9.00390625" defaultRowHeight="12.75"/>
  <cols>
    <col min="1" max="1" width="4.375" style="16" customWidth="1"/>
    <col min="2" max="2" width="7.00390625" style="16" customWidth="1"/>
    <col min="3" max="3" width="23.625" style="16" customWidth="1"/>
    <col min="4" max="4" width="10.625" style="16" customWidth="1"/>
    <col min="5" max="5" width="11.875" style="16" customWidth="1"/>
    <col min="6" max="6" width="10.50390625" style="16" customWidth="1"/>
    <col min="7" max="7" width="9.875" style="16" customWidth="1"/>
    <col min="8" max="8" width="10.50390625" style="16" customWidth="1"/>
    <col min="9" max="9" width="10.875" style="16" customWidth="1"/>
    <col min="10" max="10" width="10.625" style="16" customWidth="1"/>
    <col min="11" max="11" width="9.50390625" style="16" customWidth="1"/>
    <col min="12" max="12" width="11.375" style="16" customWidth="1"/>
    <col min="13" max="13" width="11.875" style="16" customWidth="1"/>
    <col min="14" max="14" width="12.00390625" style="16" customWidth="1"/>
    <col min="15" max="16384" width="9.375" style="16" customWidth="1"/>
  </cols>
  <sheetData>
    <row r="1" spans="1:14" ht="12.75" customHeight="1">
      <c r="A1" s="538" t="s">
        <v>574</v>
      </c>
      <c r="B1" s="538" t="s">
        <v>575</v>
      </c>
      <c r="C1" s="538" t="s">
        <v>857</v>
      </c>
      <c r="D1" s="537" t="s">
        <v>869</v>
      </c>
      <c r="E1" s="537"/>
      <c r="F1" s="537"/>
      <c r="G1" s="537"/>
      <c r="H1" s="537"/>
      <c r="I1" s="537"/>
      <c r="J1" s="537"/>
      <c r="K1" s="537"/>
      <c r="L1" s="537" t="s">
        <v>868</v>
      </c>
      <c r="M1" s="537"/>
      <c r="N1" s="538" t="s">
        <v>1183</v>
      </c>
    </row>
    <row r="2" spans="1:14" s="37" customFormat="1" ht="60" customHeight="1">
      <c r="A2" s="538"/>
      <c r="B2" s="538"/>
      <c r="C2" s="538"/>
      <c r="D2" s="109" t="s">
        <v>673</v>
      </c>
      <c r="E2" s="109" t="s">
        <v>1248</v>
      </c>
      <c r="F2" s="109" t="s">
        <v>1240</v>
      </c>
      <c r="G2" s="109" t="s">
        <v>355</v>
      </c>
      <c r="H2" s="109" t="s">
        <v>432</v>
      </c>
      <c r="I2" s="109" t="s">
        <v>419</v>
      </c>
      <c r="J2" s="109" t="s">
        <v>418</v>
      </c>
      <c r="K2" s="109" t="s">
        <v>356</v>
      </c>
      <c r="L2" s="109" t="s">
        <v>873</v>
      </c>
      <c r="M2" s="109" t="s">
        <v>879</v>
      </c>
      <c r="N2" s="538"/>
    </row>
    <row r="3" spans="1:14" s="37" customFormat="1" ht="15" customHeight="1">
      <c r="A3" s="649">
        <v>1</v>
      </c>
      <c r="B3" s="649"/>
      <c r="C3" s="42" t="s">
        <v>1184</v>
      </c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</row>
    <row r="4" spans="1:14" s="37" customFormat="1" ht="15" customHeight="1">
      <c r="A4" s="649">
        <v>1</v>
      </c>
      <c r="B4" s="649">
        <v>1</v>
      </c>
      <c r="C4" s="7" t="s">
        <v>191</v>
      </c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14" s="23" customFormat="1" ht="24.75" customHeight="1">
      <c r="A5" s="5"/>
      <c r="B5" s="5">
        <v>12</v>
      </c>
      <c r="C5" s="113" t="s">
        <v>639</v>
      </c>
      <c r="D5" s="44">
        <f>'[1]6.a'!G46</f>
        <v>0</v>
      </c>
      <c r="E5" s="44">
        <f>'[1]6.a'!H46</f>
        <v>4950</v>
      </c>
      <c r="F5" s="44">
        <f>'[1]6.a'!I46</f>
        <v>36138</v>
      </c>
      <c r="G5" s="44">
        <f>'[1]6.a'!J46</f>
        <v>89350</v>
      </c>
      <c r="H5" s="44">
        <f>'[1]6.a'!K46</f>
        <v>3200</v>
      </c>
      <c r="I5" s="44">
        <f>'[1]6.a'!L46</f>
        <v>635</v>
      </c>
      <c r="J5" s="44">
        <f>'[1]6.a'!M46</f>
        <v>0</v>
      </c>
      <c r="K5" s="44">
        <f>'[1]6.a'!N46</f>
        <v>36929</v>
      </c>
      <c r="L5" s="44">
        <f>'[1]6.a'!O46</f>
        <v>0</v>
      </c>
      <c r="M5" s="44">
        <f>'[1]6.a'!P46</f>
        <v>0</v>
      </c>
      <c r="N5" s="6">
        <f aca="true" t="shared" si="0" ref="N5:N15">SUM(D5:M5)</f>
        <v>171202</v>
      </c>
    </row>
    <row r="6" spans="1:14" s="23" customFormat="1" ht="13.5" customHeight="1">
      <c r="A6" s="5"/>
      <c r="B6" s="5">
        <v>13</v>
      </c>
      <c r="C6" s="42" t="s">
        <v>640</v>
      </c>
      <c r="D6" s="44">
        <f>'[1]6.a'!G213</f>
        <v>4123</v>
      </c>
      <c r="E6" s="44">
        <f>'[1]6.a'!H213</f>
        <v>1687</v>
      </c>
      <c r="F6" s="44">
        <f>'[1]6.a'!I213</f>
        <v>46223</v>
      </c>
      <c r="G6" s="44">
        <f>'[1]6.a'!J213</f>
        <v>5600</v>
      </c>
      <c r="H6" s="44">
        <f>'[1]6.a'!K213</f>
        <v>651919</v>
      </c>
      <c r="I6" s="44">
        <f>'[1]6.a'!L213</f>
        <v>27129</v>
      </c>
      <c r="J6" s="44">
        <f>'[1]6.a'!M213</f>
        <v>19795</v>
      </c>
      <c r="K6" s="44">
        <f>'[1]6.a'!N213</f>
        <v>32715</v>
      </c>
      <c r="L6" s="44">
        <f>'[1]6.a'!O213</f>
        <v>0</v>
      </c>
      <c r="M6" s="44">
        <f>'[1]6.a'!P213</f>
        <v>0</v>
      </c>
      <c r="N6" s="6">
        <f t="shared" si="0"/>
        <v>789191</v>
      </c>
    </row>
    <row r="7" spans="1:14" s="23" customFormat="1" ht="13.5" customHeight="1">
      <c r="A7" s="5"/>
      <c r="B7" s="5">
        <v>14</v>
      </c>
      <c r="C7" s="42" t="s">
        <v>1190</v>
      </c>
      <c r="D7" s="44">
        <f>'[1]6.a'!G226</f>
        <v>0</v>
      </c>
      <c r="E7" s="44">
        <f>'[1]6.a'!H226</f>
        <v>0</v>
      </c>
      <c r="F7" s="44">
        <f>'[1]6.a'!I226</f>
        <v>8758</v>
      </c>
      <c r="G7" s="44">
        <f>'[1]6.a'!J226</f>
        <v>0</v>
      </c>
      <c r="H7" s="44">
        <f>'[1]6.a'!K226</f>
        <v>0</v>
      </c>
      <c r="I7" s="44">
        <f>'[1]6.a'!L226</f>
        <v>11665</v>
      </c>
      <c r="J7" s="44">
        <f>'[1]6.a'!M226</f>
        <v>500</v>
      </c>
      <c r="K7" s="44">
        <f>'[1]6.a'!N226</f>
        <v>6612</v>
      </c>
      <c r="L7" s="44">
        <f>'[1]6.a'!O226</f>
        <v>0</v>
      </c>
      <c r="M7" s="44">
        <f>'[1]6.a'!P226</f>
        <v>0</v>
      </c>
      <c r="N7" s="6">
        <f t="shared" si="0"/>
        <v>27535</v>
      </c>
    </row>
    <row r="8" spans="1:14" s="23" customFormat="1" ht="13.5" customHeight="1">
      <c r="A8" s="5"/>
      <c r="B8" s="5">
        <v>15</v>
      </c>
      <c r="C8" s="49" t="s">
        <v>861</v>
      </c>
      <c r="D8" s="44">
        <f>'[1]6.a'!G468</f>
        <v>7060</v>
      </c>
      <c r="E8" s="44">
        <f>'[1]6.a'!H468</f>
        <v>1262</v>
      </c>
      <c r="F8" s="44">
        <f>'[1]6.a'!I468</f>
        <v>1453646</v>
      </c>
      <c r="G8" s="44">
        <f>'[1]6.a'!J468</f>
        <v>0</v>
      </c>
      <c r="H8" s="44">
        <f>'[1]6.a'!K468</f>
        <v>386384</v>
      </c>
      <c r="I8" s="44">
        <f>'[1]6.a'!L468</f>
        <v>164829</v>
      </c>
      <c r="J8" s="44">
        <f>'[1]6.a'!M468</f>
        <v>186046</v>
      </c>
      <c r="K8" s="44">
        <f>'[1]6.a'!N468</f>
        <v>500</v>
      </c>
      <c r="L8" s="44">
        <f>'[1]6.a'!O468</f>
        <v>0</v>
      </c>
      <c r="M8" s="44">
        <f>'[1]6.a'!P468</f>
        <v>0</v>
      </c>
      <c r="N8" s="6">
        <f t="shared" si="0"/>
        <v>2199727</v>
      </c>
    </row>
    <row r="9" spans="1:14" s="23" customFormat="1" ht="13.5" customHeight="1">
      <c r="A9" s="5"/>
      <c r="B9" s="5">
        <v>16</v>
      </c>
      <c r="C9" s="49" t="s">
        <v>692</v>
      </c>
      <c r="D9" s="44">
        <f>'[1]6.a'!G629</f>
        <v>68248</v>
      </c>
      <c r="E9" s="44">
        <f>'[1]6.a'!H629</f>
        <v>15392</v>
      </c>
      <c r="F9" s="44">
        <f>'[1]6.a'!I629</f>
        <v>4058997</v>
      </c>
      <c r="G9" s="44">
        <f>'[1]6.a'!J629</f>
        <v>0</v>
      </c>
      <c r="H9" s="44">
        <f>'[1]6.a'!K629</f>
        <v>17412</v>
      </c>
      <c r="I9" s="44">
        <f>'[1]6.a'!L629</f>
        <v>20462932</v>
      </c>
      <c r="J9" s="44">
        <f>'[1]6.a'!M629</f>
        <v>3963414</v>
      </c>
      <c r="K9" s="44">
        <f>'[1]6.a'!N629</f>
        <v>108097</v>
      </c>
      <c r="L9" s="44">
        <f>'[1]6.a'!O629</f>
        <v>0</v>
      </c>
      <c r="M9" s="44">
        <f>'[1]6.a'!P629</f>
        <v>0</v>
      </c>
      <c r="N9" s="6">
        <f t="shared" si="0"/>
        <v>28694492</v>
      </c>
    </row>
    <row r="10" spans="1:14" s="23" customFormat="1" ht="13.5" customHeight="1">
      <c r="A10" s="5"/>
      <c r="B10" s="5">
        <v>17</v>
      </c>
      <c r="C10" s="49" t="s">
        <v>862</v>
      </c>
      <c r="D10" s="44">
        <f>'[1]6.a'!G654</f>
        <v>0</v>
      </c>
      <c r="E10" s="44">
        <f>'[1]6.a'!H654</f>
        <v>0</v>
      </c>
      <c r="F10" s="44">
        <f>'[1]6.a'!I654</f>
        <v>78587</v>
      </c>
      <c r="G10" s="44">
        <f>'[1]6.a'!J654</f>
        <v>0</v>
      </c>
      <c r="H10" s="44">
        <f>'[1]6.a'!K654</f>
        <v>0</v>
      </c>
      <c r="I10" s="44">
        <f>'[1]6.a'!L654</f>
        <v>103439</v>
      </c>
      <c r="J10" s="44">
        <f>'[1]6.a'!M654</f>
        <v>1806</v>
      </c>
      <c r="K10" s="44">
        <f>'[1]6.a'!N654</f>
        <v>28500</v>
      </c>
      <c r="L10" s="44">
        <f>'[1]6.a'!O654</f>
        <v>0</v>
      </c>
      <c r="M10" s="44">
        <f>'[1]6.a'!P654</f>
        <v>25000</v>
      </c>
      <c r="N10" s="6">
        <f t="shared" si="0"/>
        <v>237332</v>
      </c>
    </row>
    <row r="11" spans="1:14" s="23" customFormat="1" ht="13.5" customHeight="1">
      <c r="A11" s="5"/>
      <c r="B11" s="5">
        <v>18</v>
      </c>
      <c r="C11" s="49" t="s">
        <v>403</v>
      </c>
      <c r="D11" s="44">
        <f>'[1]6.a'!G675</f>
        <v>128341</v>
      </c>
      <c r="E11" s="44">
        <f>'[1]6.a'!H675</f>
        <v>24179</v>
      </c>
      <c r="F11" s="44">
        <f>'[1]6.a'!I675</f>
        <v>72392</v>
      </c>
      <c r="G11" s="44">
        <f>'[1]6.a'!J675</f>
        <v>0</v>
      </c>
      <c r="H11" s="44">
        <f>'[1]6.a'!K675</f>
        <v>5500</v>
      </c>
      <c r="I11" s="44">
        <f>'[1]6.a'!L675</f>
        <v>7287</v>
      </c>
      <c r="J11" s="44">
        <f>'[1]6.a'!M675</f>
        <v>0</v>
      </c>
      <c r="K11" s="44">
        <f>'[1]6.a'!N675</f>
        <v>0</v>
      </c>
      <c r="L11" s="44">
        <f>'[1]6.a'!O675</f>
        <v>0</v>
      </c>
      <c r="M11" s="44">
        <f>'[1]6.a'!P675</f>
        <v>0</v>
      </c>
      <c r="N11" s="6">
        <f t="shared" si="0"/>
        <v>237699</v>
      </c>
    </row>
    <row r="12" spans="1:14" s="23" customFormat="1" ht="13.5" customHeight="1">
      <c r="A12" s="5"/>
      <c r="B12" s="5">
        <v>19</v>
      </c>
      <c r="C12" s="48" t="s">
        <v>571</v>
      </c>
      <c r="D12" s="44">
        <f>'[1]6.a'!G705</f>
        <v>0</v>
      </c>
      <c r="E12" s="44">
        <f>'[1]6.a'!H705</f>
        <v>0</v>
      </c>
      <c r="F12" s="44">
        <f>'[1]6.a'!I705</f>
        <v>440067</v>
      </c>
      <c r="G12" s="44">
        <f>'[1]6.a'!J705</f>
        <v>0</v>
      </c>
      <c r="H12" s="44">
        <f>'[1]6.a'!K705</f>
        <v>436711</v>
      </c>
      <c r="I12" s="44">
        <f>'[1]6.a'!L705</f>
        <v>0</v>
      </c>
      <c r="J12" s="44">
        <f>'[1]6.a'!M705</f>
        <v>0</v>
      </c>
      <c r="K12" s="44">
        <f>'[1]6.a'!N705</f>
        <v>4600</v>
      </c>
      <c r="L12" s="44">
        <f>'[1]6.a'!O705</f>
        <v>74052</v>
      </c>
      <c r="M12" s="44">
        <f>'[1]6.a'!P705</f>
        <v>2889014</v>
      </c>
      <c r="N12" s="6">
        <f t="shared" si="0"/>
        <v>3844444</v>
      </c>
    </row>
    <row r="13" spans="1:14" s="23" customFormat="1" ht="12.75" customHeight="1">
      <c r="A13" s="5"/>
      <c r="B13" s="5">
        <v>20</v>
      </c>
      <c r="C13" s="48" t="s">
        <v>192</v>
      </c>
      <c r="D13" s="44">
        <f>'[1]6.a'!G708</f>
        <v>0</v>
      </c>
      <c r="E13" s="44">
        <f>'[1]6.a'!H708</f>
        <v>0</v>
      </c>
      <c r="F13" s="44">
        <f>'[1]6.a'!I708</f>
        <v>0</v>
      </c>
      <c r="G13" s="44">
        <f>'[1]6.a'!J708</f>
        <v>0</v>
      </c>
      <c r="H13" s="44">
        <f>'[1]6.a'!K708</f>
        <v>0</v>
      </c>
      <c r="I13" s="44">
        <f>'[1]6.a'!L708</f>
        <v>0</v>
      </c>
      <c r="J13" s="44">
        <f>'[1]6.a'!M708</f>
        <v>0</v>
      </c>
      <c r="K13" s="44">
        <f>'[1]6.a'!N708</f>
        <v>0</v>
      </c>
      <c r="L13" s="44">
        <f>'[1]6.a'!O708</f>
        <v>0</v>
      </c>
      <c r="M13" s="44">
        <f>'[1]6.a'!P708</f>
        <v>0</v>
      </c>
      <c r="N13" s="6">
        <f t="shared" si="0"/>
        <v>0</v>
      </c>
    </row>
    <row r="14" spans="1:14" s="23" customFormat="1" ht="27" customHeight="1">
      <c r="A14" s="5"/>
      <c r="B14" s="5">
        <v>22</v>
      </c>
      <c r="C14" s="651" t="s">
        <v>215</v>
      </c>
      <c r="D14" s="44">
        <f>'[1]6.a'!G752</f>
        <v>14088</v>
      </c>
      <c r="E14" s="44">
        <f>'[1]6.a'!H752</f>
        <v>6542</v>
      </c>
      <c r="F14" s="44">
        <f>'[1]6.a'!I752</f>
        <v>156335</v>
      </c>
      <c r="G14" s="44">
        <f>'[1]6.a'!J752</f>
        <v>0</v>
      </c>
      <c r="H14" s="44">
        <f>'[1]6.a'!K752</f>
        <v>266258</v>
      </c>
      <c r="I14" s="44">
        <f>'[1]6.a'!L752</f>
        <v>8792</v>
      </c>
      <c r="J14" s="44">
        <f>'[1]6.a'!M752</f>
        <v>0</v>
      </c>
      <c r="K14" s="44">
        <f>'[1]6.a'!N752</f>
        <v>15322</v>
      </c>
      <c r="L14" s="44">
        <f>'[1]6.a'!O752</f>
        <v>0</v>
      </c>
      <c r="M14" s="44">
        <f>'[1]6.a'!P752</f>
        <v>0</v>
      </c>
      <c r="N14" s="6">
        <f t="shared" si="0"/>
        <v>467337</v>
      </c>
    </row>
    <row r="15" spans="1:14" s="23" customFormat="1" ht="12.75" customHeight="1">
      <c r="A15" s="5"/>
      <c r="B15" s="5">
        <v>30</v>
      </c>
      <c r="C15" s="7" t="s">
        <v>195</v>
      </c>
      <c r="D15" s="44">
        <f>'[1]6.a'!G768</f>
        <v>0</v>
      </c>
      <c r="E15" s="44">
        <f>'[1]6.a'!H768</f>
        <v>0</v>
      </c>
      <c r="F15" s="44">
        <f>'[1]6.a'!I768</f>
        <v>0</v>
      </c>
      <c r="G15" s="44">
        <f>'[1]6.a'!J768</f>
        <v>0</v>
      </c>
      <c r="H15" s="44">
        <f>'[1]6.a'!K768</f>
        <v>273232</v>
      </c>
      <c r="I15" s="44">
        <f>'[1]6.a'!L768</f>
        <v>10000</v>
      </c>
      <c r="J15" s="44">
        <f>'[1]6.a'!M768</f>
        <v>9939</v>
      </c>
      <c r="K15" s="44">
        <f>'[1]6.a'!N768</f>
        <v>0</v>
      </c>
      <c r="L15" s="44">
        <f>'[1]6.a'!O768</f>
        <v>0</v>
      </c>
      <c r="M15" s="44">
        <f>'[1]6.a'!P768</f>
        <v>0</v>
      </c>
      <c r="N15" s="6">
        <f t="shared" si="0"/>
        <v>293171</v>
      </c>
    </row>
    <row r="16" spans="1:14" s="23" customFormat="1" ht="34.5" customHeight="1">
      <c r="A16" s="50"/>
      <c r="B16" s="50"/>
      <c r="C16" s="99" t="s">
        <v>229</v>
      </c>
      <c r="D16" s="8">
        <f>SUM(D3:D15)</f>
        <v>221860</v>
      </c>
      <c r="E16" s="8">
        <f>SUM(E3:E15)</f>
        <v>54012</v>
      </c>
      <c r="F16" s="8">
        <f aca="true" t="shared" si="1" ref="F16:N16">SUM(F5:F15)</f>
        <v>6351143</v>
      </c>
      <c r="G16" s="8">
        <f t="shared" si="1"/>
        <v>94950</v>
      </c>
      <c r="H16" s="8">
        <f t="shared" si="1"/>
        <v>2040616</v>
      </c>
      <c r="I16" s="8">
        <f t="shared" si="1"/>
        <v>20796708</v>
      </c>
      <c r="J16" s="8">
        <f t="shared" si="1"/>
        <v>4181500</v>
      </c>
      <c r="K16" s="8">
        <f t="shared" si="1"/>
        <v>233275</v>
      </c>
      <c r="L16" s="8">
        <f t="shared" si="1"/>
        <v>74052</v>
      </c>
      <c r="M16" s="8">
        <f t="shared" si="1"/>
        <v>2914014</v>
      </c>
      <c r="N16" s="8">
        <f t="shared" si="1"/>
        <v>36962130</v>
      </c>
    </row>
    <row r="17" spans="1:14" s="23" customFormat="1" ht="12.75" customHeight="1">
      <c r="A17" s="652">
        <v>2</v>
      </c>
      <c r="B17" s="652"/>
      <c r="C17" s="42" t="s">
        <v>1186</v>
      </c>
      <c r="D17" s="44">
        <f>'[1]6.a'!G770</f>
        <v>3841263</v>
      </c>
      <c r="E17" s="44">
        <f>'[1]6.a'!H770</f>
        <v>786159</v>
      </c>
      <c r="F17" s="44">
        <f>'[1]6.a'!I770</f>
        <v>2406788</v>
      </c>
      <c r="G17" s="44">
        <f>'[1]6.a'!J770</f>
        <v>3400</v>
      </c>
      <c r="H17" s="44">
        <f>'[1]6.a'!K770</f>
        <v>63403</v>
      </c>
      <c r="I17" s="44">
        <f>'[1]6.a'!L770</f>
        <v>100451</v>
      </c>
      <c r="J17" s="44">
        <f>'[1]6.a'!M770</f>
        <v>22000</v>
      </c>
      <c r="K17" s="44">
        <f>'[1]6.a'!N770</f>
        <v>0</v>
      </c>
      <c r="L17" s="44">
        <f>'[1]6.a'!O770</f>
        <v>0</v>
      </c>
      <c r="M17" s="44">
        <f>'[1]6.a'!P770</f>
        <v>0</v>
      </c>
      <c r="N17" s="44">
        <f>SUM(D17:M17)</f>
        <v>7223464</v>
      </c>
    </row>
    <row r="18" spans="1:14" s="23" customFormat="1" ht="12.75" customHeight="1">
      <c r="A18" s="50"/>
      <c r="B18" s="50"/>
      <c r="C18" s="9" t="s">
        <v>1174</v>
      </c>
      <c r="D18" s="8">
        <f aca="true" t="shared" si="2" ref="D18:N18">SUM(D16:D17)</f>
        <v>4063123</v>
      </c>
      <c r="E18" s="8">
        <f t="shared" si="2"/>
        <v>840171</v>
      </c>
      <c r="F18" s="8">
        <f t="shared" si="2"/>
        <v>8757931</v>
      </c>
      <c r="G18" s="8">
        <f t="shared" si="2"/>
        <v>98350</v>
      </c>
      <c r="H18" s="8">
        <f t="shared" si="2"/>
        <v>2104019</v>
      </c>
      <c r="I18" s="8">
        <f t="shared" si="2"/>
        <v>20897159</v>
      </c>
      <c r="J18" s="8">
        <f t="shared" si="2"/>
        <v>4203500</v>
      </c>
      <c r="K18" s="8">
        <f t="shared" si="2"/>
        <v>233275</v>
      </c>
      <c r="L18" s="8">
        <f t="shared" si="2"/>
        <v>74052</v>
      </c>
      <c r="M18" s="8">
        <f t="shared" si="2"/>
        <v>2914014</v>
      </c>
      <c r="N18" s="8">
        <f t="shared" si="2"/>
        <v>44185594</v>
      </c>
    </row>
    <row r="20" ht="12">
      <c r="N20" s="653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2019.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774"/>
  <sheetViews>
    <sheetView zoomScaleSheetLayoutView="120" workbookViewId="0" topLeftCell="A1">
      <pane ySplit="2" topLeftCell="BM749" activePane="bottomLeft" state="frozen"/>
      <selection pane="topLeft" activeCell="A1" sqref="A1"/>
      <selection pane="bottomLeft" activeCell="Q749" sqref="Q749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51.50390625" style="4" customWidth="1"/>
    <col min="5" max="5" width="3.125" style="4" customWidth="1"/>
    <col min="6" max="6" width="8.625" style="4" customWidth="1"/>
    <col min="7" max="7" width="10.50390625" style="4" customWidth="1"/>
    <col min="8" max="8" width="10.125" style="4" customWidth="1"/>
    <col min="9" max="9" width="11.00390625" style="4" customWidth="1"/>
    <col min="10" max="10" width="10.375" style="4" customWidth="1"/>
    <col min="11" max="11" width="10.50390625" style="4" customWidth="1"/>
    <col min="12" max="12" width="11.625" style="4" customWidth="1"/>
    <col min="13" max="13" width="10.50390625" style="206" customWidth="1"/>
    <col min="14" max="14" width="8.875" style="206" customWidth="1"/>
    <col min="15" max="16" width="10.375" style="4" customWidth="1"/>
    <col min="17" max="17" width="11.875" style="4" customWidth="1"/>
    <col min="18" max="16384" width="9.375" style="4" customWidth="1"/>
  </cols>
  <sheetData>
    <row r="1" spans="1:17" ht="25.5" customHeight="1">
      <c r="A1" s="539" t="s">
        <v>574</v>
      </c>
      <c r="B1" s="539" t="s">
        <v>575</v>
      </c>
      <c r="C1" s="539" t="s">
        <v>365</v>
      </c>
      <c r="D1" s="541" t="s">
        <v>857</v>
      </c>
      <c r="E1" s="543" t="s">
        <v>1236</v>
      </c>
      <c r="F1" s="539" t="s">
        <v>108</v>
      </c>
      <c r="G1" s="513" t="s">
        <v>869</v>
      </c>
      <c r="H1" s="513"/>
      <c r="I1" s="513"/>
      <c r="J1" s="513"/>
      <c r="K1" s="513"/>
      <c r="L1" s="513"/>
      <c r="M1" s="513"/>
      <c r="N1" s="514"/>
      <c r="O1" s="546" t="s">
        <v>868</v>
      </c>
      <c r="P1" s="514"/>
      <c r="Q1" s="545" t="s">
        <v>305</v>
      </c>
    </row>
    <row r="2" spans="1:17" ht="73.5" customHeight="1" thickBot="1">
      <c r="A2" s="540"/>
      <c r="B2" s="540"/>
      <c r="C2" s="540"/>
      <c r="D2" s="542"/>
      <c r="E2" s="544"/>
      <c r="F2" s="517"/>
      <c r="G2" s="381" t="s">
        <v>673</v>
      </c>
      <c r="H2" s="107" t="s">
        <v>1248</v>
      </c>
      <c r="I2" s="107" t="s">
        <v>1240</v>
      </c>
      <c r="J2" s="107" t="s">
        <v>355</v>
      </c>
      <c r="K2" s="107" t="s">
        <v>432</v>
      </c>
      <c r="L2" s="107" t="s">
        <v>419</v>
      </c>
      <c r="M2" s="107" t="s">
        <v>418</v>
      </c>
      <c r="N2" s="107" t="s">
        <v>356</v>
      </c>
      <c r="O2" s="118" t="s">
        <v>873</v>
      </c>
      <c r="P2" s="119" t="s">
        <v>879</v>
      </c>
      <c r="Q2" s="515"/>
    </row>
    <row r="3" spans="1:17" ht="16.5" customHeight="1">
      <c r="A3" s="654">
        <v>1</v>
      </c>
      <c r="B3" s="649"/>
      <c r="C3" s="655"/>
      <c r="D3" s="656" t="s">
        <v>1185</v>
      </c>
      <c r="E3" s="400"/>
      <c r="F3" s="70"/>
      <c r="G3" s="657"/>
      <c r="H3" s="650"/>
      <c r="I3" s="650"/>
      <c r="J3" s="650"/>
      <c r="K3" s="650"/>
      <c r="L3" s="650"/>
      <c r="M3" s="650"/>
      <c r="N3" s="650"/>
      <c r="O3" s="650"/>
      <c r="P3" s="650"/>
      <c r="Q3" s="658"/>
    </row>
    <row r="4" spans="1:17" ht="12.75" customHeight="1">
      <c r="A4" s="649">
        <v>1</v>
      </c>
      <c r="B4" s="649">
        <v>1</v>
      </c>
      <c r="C4" s="649"/>
      <c r="D4" s="656" t="s">
        <v>191</v>
      </c>
      <c r="E4" s="10"/>
      <c r="F4" s="70"/>
      <c r="G4" s="657"/>
      <c r="H4" s="650"/>
      <c r="I4" s="650"/>
      <c r="J4" s="650"/>
      <c r="K4" s="650"/>
      <c r="L4" s="650"/>
      <c r="M4" s="650"/>
      <c r="N4" s="650"/>
      <c r="O4" s="650"/>
      <c r="P4" s="650"/>
      <c r="Q4" s="650"/>
    </row>
    <row r="5" spans="1:17" ht="12" customHeight="1">
      <c r="A5" s="5">
        <v>1</v>
      </c>
      <c r="B5" s="5">
        <v>12</v>
      </c>
      <c r="C5" s="5"/>
      <c r="D5" s="140" t="s">
        <v>639</v>
      </c>
      <c r="E5" s="659"/>
      <c r="F5" s="652"/>
      <c r="G5" s="660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4.25" customHeight="1">
      <c r="A6" s="5"/>
      <c r="B6" s="5"/>
      <c r="C6" s="661"/>
      <c r="D6" s="125" t="s">
        <v>723</v>
      </c>
      <c r="E6" s="401"/>
      <c r="F6" s="197"/>
      <c r="G6" s="660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4.25" customHeight="1">
      <c r="A7" s="5"/>
      <c r="B7" s="5"/>
      <c r="C7" s="661"/>
      <c r="D7" s="662" t="s">
        <v>320</v>
      </c>
      <c r="E7" s="389">
        <v>2</v>
      </c>
      <c r="F7" s="7">
        <v>121103</v>
      </c>
      <c r="G7" s="660">
        <f>0+'[1]táj.2'!G7</f>
        <v>0</v>
      </c>
      <c r="H7" s="660">
        <f>0+'[1]táj.2'!H7</f>
        <v>0</v>
      </c>
      <c r="I7" s="660">
        <f>0+'[1]táj.2'!I7</f>
        <v>0</v>
      </c>
      <c r="J7" s="660">
        <f>6200+'[1]táj.2'!J7</f>
        <v>6200</v>
      </c>
      <c r="K7" s="660">
        <f>0+'[1]táj.2'!K7</f>
        <v>0</v>
      </c>
      <c r="L7" s="660">
        <f>0+'[1]táj.2'!L7</f>
        <v>0</v>
      </c>
      <c r="M7" s="660">
        <f>0+'[1]táj.2'!M7</f>
        <v>0</v>
      </c>
      <c r="N7" s="660">
        <f>0+'[1]táj.2'!N7</f>
        <v>0</v>
      </c>
      <c r="O7" s="660">
        <f>0+'[1]táj.2'!O7</f>
        <v>0</v>
      </c>
      <c r="P7" s="660">
        <f>0+'[1]táj.2'!P7</f>
        <v>0</v>
      </c>
      <c r="Q7" s="6">
        <f>SUM(G7:P7)</f>
        <v>6200</v>
      </c>
    </row>
    <row r="8" spans="1:17" ht="14.25" customHeight="1">
      <c r="A8" s="5"/>
      <c r="B8" s="5"/>
      <c r="C8" s="661"/>
      <c r="D8" s="662" t="s">
        <v>726</v>
      </c>
      <c r="E8" s="389"/>
      <c r="F8" s="7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"/>
    </row>
    <row r="9" spans="1:17" ht="14.25" customHeight="1">
      <c r="A9" s="5"/>
      <c r="B9" s="5"/>
      <c r="C9" s="661"/>
      <c r="D9" s="662" t="s">
        <v>888</v>
      </c>
      <c r="E9" s="389">
        <v>2</v>
      </c>
      <c r="F9" s="7">
        <v>121104</v>
      </c>
      <c r="G9" s="660">
        <f>0+'[1]táj.2'!G9</f>
        <v>0</v>
      </c>
      <c r="H9" s="660">
        <f>0+'[1]táj.2'!H9</f>
        <v>0</v>
      </c>
      <c r="I9" s="660">
        <f>0+'[1]táj.2'!I9</f>
        <v>0</v>
      </c>
      <c r="J9" s="660">
        <f>22000+'[1]táj.2'!J9</f>
        <v>22000</v>
      </c>
      <c r="K9" s="660">
        <f>0+'[1]táj.2'!K9</f>
        <v>0</v>
      </c>
      <c r="L9" s="660">
        <f>0+'[1]táj.2'!L9</f>
        <v>0</v>
      </c>
      <c r="M9" s="660">
        <f>0+'[1]táj.2'!M9</f>
        <v>0</v>
      </c>
      <c r="N9" s="660">
        <f>0+'[1]táj.2'!N9</f>
        <v>0</v>
      </c>
      <c r="O9" s="660">
        <f>0+'[1]táj.2'!O9</f>
        <v>0</v>
      </c>
      <c r="P9" s="660">
        <f>0+'[1]táj.2'!P9</f>
        <v>0</v>
      </c>
      <c r="Q9" s="6">
        <f>SUM(G9:P9)</f>
        <v>22000</v>
      </c>
    </row>
    <row r="10" spans="1:17" ht="24" customHeight="1">
      <c r="A10" s="5"/>
      <c r="B10" s="5"/>
      <c r="C10" s="661"/>
      <c r="D10" s="663" t="s">
        <v>492</v>
      </c>
      <c r="E10" s="389">
        <v>2</v>
      </c>
      <c r="F10" s="7">
        <v>121117</v>
      </c>
      <c r="G10" s="660">
        <f>0+'[1]táj.2'!G10</f>
        <v>0</v>
      </c>
      <c r="H10" s="660">
        <f>0+'[1]táj.2'!H10</f>
        <v>0</v>
      </c>
      <c r="I10" s="660">
        <f>0+'[1]táj.2'!I10</f>
        <v>0</v>
      </c>
      <c r="J10" s="660">
        <f>7200+'[1]táj.2'!J10</f>
        <v>7200</v>
      </c>
      <c r="K10" s="660">
        <f>0+'[1]táj.2'!K10</f>
        <v>0</v>
      </c>
      <c r="L10" s="660">
        <f>0+'[1]táj.2'!L10</f>
        <v>0</v>
      </c>
      <c r="M10" s="660">
        <f>0+'[1]táj.2'!M10</f>
        <v>0</v>
      </c>
      <c r="N10" s="660">
        <f>0+'[1]táj.2'!N10</f>
        <v>0</v>
      </c>
      <c r="O10" s="660">
        <f>0+'[1]táj.2'!O10</f>
        <v>0</v>
      </c>
      <c r="P10" s="660">
        <f>0+'[1]táj.2'!P10</f>
        <v>0</v>
      </c>
      <c r="Q10" s="6">
        <f>SUM(G10:P10)</f>
        <v>7200</v>
      </c>
    </row>
    <row r="11" spans="1:17" ht="14.25" customHeight="1">
      <c r="A11" s="5"/>
      <c r="B11" s="5"/>
      <c r="C11" s="661"/>
      <c r="D11" s="662" t="s">
        <v>562</v>
      </c>
      <c r="E11" s="389"/>
      <c r="F11" s="7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"/>
    </row>
    <row r="12" spans="1:17" ht="14.25" customHeight="1">
      <c r="A12" s="5"/>
      <c r="B12" s="5"/>
      <c r="C12" s="661"/>
      <c r="D12" s="662" t="s">
        <v>321</v>
      </c>
      <c r="E12" s="389">
        <v>2</v>
      </c>
      <c r="F12" s="7">
        <v>121111</v>
      </c>
      <c r="G12" s="660">
        <f>0+'[1]táj.2'!G12</f>
        <v>0</v>
      </c>
      <c r="H12" s="660">
        <f>0+'[1]táj.2'!H12</f>
        <v>0</v>
      </c>
      <c r="I12" s="660">
        <f>0+'[1]táj.2'!I12</f>
        <v>0</v>
      </c>
      <c r="J12" s="660">
        <f>3000+'[1]táj.2'!J12</f>
        <v>3000</v>
      </c>
      <c r="K12" s="660">
        <f>0+'[1]táj.2'!K12</f>
        <v>0</v>
      </c>
      <c r="L12" s="660">
        <f>0+'[1]táj.2'!L12</f>
        <v>0</v>
      </c>
      <c r="M12" s="660">
        <f>0+'[1]táj.2'!M12</f>
        <v>0</v>
      </c>
      <c r="N12" s="660">
        <f>0+'[1]táj.2'!N12</f>
        <v>0</v>
      </c>
      <c r="O12" s="660">
        <f>0+'[1]táj.2'!O12</f>
        <v>0</v>
      </c>
      <c r="P12" s="660">
        <f>0+'[1]táj.2'!P12</f>
        <v>0</v>
      </c>
      <c r="Q12" s="6">
        <f aca="true" t="shared" si="0" ref="Q12:Q18">SUM(G12:P12)</f>
        <v>3000</v>
      </c>
    </row>
    <row r="13" spans="1:17" ht="14.25" customHeight="1">
      <c r="A13" s="5"/>
      <c r="B13" s="5"/>
      <c r="C13" s="661"/>
      <c r="D13" s="662" t="s">
        <v>125</v>
      </c>
      <c r="E13" s="389">
        <v>2</v>
      </c>
      <c r="F13" s="142">
        <v>121127</v>
      </c>
      <c r="G13" s="660">
        <f>0+'[1]táj.2'!G13</f>
        <v>0</v>
      </c>
      <c r="H13" s="660">
        <f>0+'[1]táj.2'!H13</f>
        <v>0</v>
      </c>
      <c r="I13" s="660">
        <f>0+'[1]táj.2'!I13</f>
        <v>0</v>
      </c>
      <c r="J13" s="660">
        <f>4000+'[1]táj.2'!J13</f>
        <v>4000</v>
      </c>
      <c r="K13" s="660">
        <f>0+'[1]táj.2'!K13</f>
        <v>0</v>
      </c>
      <c r="L13" s="660">
        <f>0+'[1]táj.2'!L13</f>
        <v>0</v>
      </c>
      <c r="M13" s="660">
        <f>0+'[1]táj.2'!M13</f>
        <v>0</v>
      </c>
      <c r="N13" s="660">
        <f>0+'[1]táj.2'!N13</f>
        <v>0</v>
      </c>
      <c r="O13" s="660">
        <f>0+'[1]táj.2'!O13</f>
        <v>0</v>
      </c>
      <c r="P13" s="660">
        <f>0+'[1]táj.2'!P13</f>
        <v>0</v>
      </c>
      <c r="Q13" s="6">
        <f t="shared" si="0"/>
        <v>4000</v>
      </c>
    </row>
    <row r="14" spans="1:17" ht="14.25" customHeight="1">
      <c r="A14" s="5"/>
      <c r="B14" s="5"/>
      <c r="C14" s="661"/>
      <c r="D14" s="662" t="s">
        <v>887</v>
      </c>
      <c r="E14" s="389"/>
      <c r="F14" s="142">
        <v>121115</v>
      </c>
      <c r="G14" s="660">
        <f>0+'[1]táj.2'!G14</f>
        <v>0</v>
      </c>
      <c r="H14" s="660">
        <f>0+'[1]táj.2'!H14</f>
        <v>0</v>
      </c>
      <c r="I14" s="660">
        <f>0+'[1]táj.2'!I14</f>
        <v>0</v>
      </c>
      <c r="J14" s="660">
        <f>100+'[1]táj.2'!J14</f>
        <v>100</v>
      </c>
      <c r="K14" s="660">
        <f>0+'[1]táj.2'!K14</f>
        <v>0</v>
      </c>
      <c r="L14" s="660">
        <f>0+'[1]táj.2'!L14</f>
        <v>0</v>
      </c>
      <c r="M14" s="660">
        <f>0+'[1]táj.2'!M14</f>
        <v>0</v>
      </c>
      <c r="N14" s="660">
        <f>0+'[1]táj.2'!N14</f>
        <v>0</v>
      </c>
      <c r="O14" s="660">
        <f>0+'[1]táj.2'!O14</f>
        <v>0</v>
      </c>
      <c r="P14" s="660">
        <f>0+'[1]táj.2'!P14</f>
        <v>0</v>
      </c>
      <c r="Q14" s="6">
        <f t="shared" si="0"/>
        <v>100</v>
      </c>
    </row>
    <row r="15" spans="1:17" ht="14.25" customHeight="1">
      <c r="A15" s="5"/>
      <c r="B15" s="5"/>
      <c r="C15" s="661"/>
      <c r="D15" s="662" t="s">
        <v>123</v>
      </c>
      <c r="E15" s="389">
        <v>2</v>
      </c>
      <c r="F15" s="142">
        <v>121128</v>
      </c>
      <c r="G15" s="660">
        <f>0+'[1]táj.2'!G15</f>
        <v>0</v>
      </c>
      <c r="H15" s="660">
        <f>0+'[1]táj.2'!H15</f>
        <v>0</v>
      </c>
      <c r="I15" s="660">
        <f>0+'[1]táj.2'!I15</f>
        <v>0</v>
      </c>
      <c r="J15" s="660">
        <f>1000+'[1]táj.2'!J15</f>
        <v>1000</v>
      </c>
      <c r="K15" s="660">
        <f>0+'[1]táj.2'!K15</f>
        <v>0</v>
      </c>
      <c r="L15" s="660">
        <f>0+'[1]táj.2'!L15</f>
        <v>0</v>
      </c>
      <c r="M15" s="660">
        <f>0+'[1]táj.2'!M15</f>
        <v>0</v>
      </c>
      <c r="N15" s="660">
        <f>0+'[1]táj.2'!N15</f>
        <v>0</v>
      </c>
      <c r="O15" s="660">
        <f>0+'[1]táj.2'!O15</f>
        <v>0</v>
      </c>
      <c r="P15" s="660">
        <f>0+'[1]táj.2'!P15</f>
        <v>0</v>
      </c>
      <c r="Q15" s="6">
        <f t="shared" si="0"/>
        <v>1000</v>
      </c>
    </row>
    <row r="16" spans="1:17" ht="14.25" customHeight="1">
      <c r="A16" s="5"/>
      <c r="B16" s="5"/>
      <c r="C16" s="661"/>
      <c r="D16" s="662" t="s">
        <v>1034</v>
      </c>
      <c r="E16" s="389">
        <v>2</v>
      </c>
      <c r="F16" s="142">
        <v>121129</v>
      </c>
      <c r="G16" s="660">
        <f>0+'[1]táj.2'!G16</f>
        <v>0</v>
      </c>
      <c r="H16" s="660">
        <f>0+'[1]táj.2'!H16</f>
        <v>0</v>
      </c>
      <c r="I16" s="660">
        <f>0+'[1]táj.2'!I16</f>
        <v>0</v>
      </c>
      <c r="J16" s="660">
        <f>4000+'[1]táj.2'!J16</f>
        <v>4000</v>
      </c>
      <c r="K16" s="660">
        <f>0+'[1]táj.2'!K16</f>
        <v>0</v>
      </c>
      <c r="L16" s="660">
        <f>0+'[1]táj.2'!L16</f>
        <v>0</v>
      </c>
      <c r="M16" s="660">
        <f>0+'[1]táj.2'!M16</f>
        <v>0</v>
      </c>
      <c r="N16" s="660">
        <f>0+'[1]táj.2'!N16</f>
        <v>0</v>
      </c>
      <c r="O16" s="660">
        <f>0+'[1]táj.2'!O16</f>
        <v>0</v>
      </c>
      <c r="P16" s="660">
        <f>0+'[1]táj.2'!P16</f>
        <v>0</v>
      </c>
      <c r="Q16" s="6">
        <f t="shared" si="0"/>
        <v>4000</v>
      </c>
    </row>
    <row r="17" spans="1:17" ht="14.25" customHeight="1">
      <c r="A17" s="5"/>
      <c r="B17" s="5"/>
      <c r="C17" s="661"/>
      <c r="D17" s="664" t="s">
        <v>243</v>
      </c>
      <c r="E17" s="389">
        <v>2</v>
      </c>
      <c r="F17" s="142">
        <v>121106</v>
      </c>
      <c r="G17" s="660">
        <f>0+'[1]táj.2'!G17</f>
        <v>0</v>
      </c>
      <c r="H17" s="660">
        <f>0+'[1]táj.2'!H17</f>
        <v>0</v>
      </c>
      <c r="I17" s="660">
        <f>0+'[1]táj.2'!I17</f>
        <v>0</v>
      </c>
      <c r="J17" s="660">
        <f>2000+'[1]táj.2'!J17</f>
        <v>2000</v>
      </c>
      <c r="K17" s="660">
        <f>0+'[1]táj.2'!K17</f>
        <v>0</v>
      </c>
      <c r="L17" s="660">
        <f>0+'[1]táj.2'!L17</f>
        <v>0</v>
      </c>
      <c r="M17" s="660">
        <f>0+'[1]táj.2'!M17</f>
        <v>0</v>
      </c>
      <c r="N17" s="660">
        <f>0+'[1]táj.2'!N17</f>
        <v>0</v>
      </c>
      <c r="O17" s="660">
        <f>0+'[1]táj.2'!O17</f>
        <v>0</v>
      </c>
      <c r="P17" s="660">
        <f>0+'[1]táj.2'!P17</f>
        <v>0</v>
      </c>
      <c r="Q17" s="6">
        <f t="shared" si="0"/>
        <v>2000</v>
      </c>
    </row>
    <row r="18" spans="1:17" ht="25.5" customHeight="1">
      <c r="A18" s="5"/>
      <c r="B18" s="5"/>
      <c r="C18" s="661"/>
      <c r="D18" s="665" t="s">
        <v>344</v>
      </c>
      <c r="E18" s="389">
        <v>1</v>
      </c>
      <c r="F18" s="142">
        <v>121133</v>
      </c>
      <c r="G18" s="660">
        <f>0+'[1]táj.2'!G18</f>
        <v>0</v>
      </c>
      <c r="H18" s="660">
        <f>0+'[1]táj.2'!H18</f>
        <v>0</v>
      </c>
      <c r="I18" s="660">
        <f>0+'[1]táj.2'!I18</f>
        <v>5280</v>
      </c>
      <c r="J18" s="660">
        <f>5280+'[1]táj.2'!J18</f>
        <v>0</v>
      </c>
      <c r="K18" s="660">
        <f>0+'[1]táj.2'!K18</f>
        <v>0</v>
      </c>
      <c r="L18" s="660">
        <f>0+'[1]táj.2'!L18</f>
        <v>0</v>
      </c>
      <c r="M18" s="660">
        <f>0+'[1]táj.2'!M18</f>
        <v>0</v>
      </c>
      <c r="N18" s="660">
        <f>0+'[1]táj.2'!N18</f>
        <v>0</v>
      </c>
      <c r="O18" s="660">
        <f>0+'[1]táj.2'!O18</f>
        <v>0</v>
      </c>
      <c r="P18" s="660">
        <f>0+'[1]táj.2'!P18</f>
        <v>0</v>
      </c>
      <c r="Q18" s="6">
        <f t="shared" si="0"/>
        <v>5280</v>
      </c>
    </row>
    <row r="19" spans="1:17" ht="27" customHeight="1">
      <c r="A19" s="5"/>
      <c r="B19" s="5"/>
      <c r="C19" s="661"/>
      <c r="D19" s="666" t="s">
        <v>658</v>
      </c>
      <c r="E19" s="389"/>
      <c r="F19" s="142"/>
      <c r="G19" s="660"/>
      <c r="H19" s="660"/>
      <c r="I19" s="660"/>
      <c r="J19" s="660"/>
      <c r="K19" s="660"/>
      <c r="L19" s="660"/>
      <c r="M19" s="660"/>
      <c r="N19" s="660"/>
      <c r="O19" s="660"/>
      <c r="P19" s="660"/>
      <c r="Q19" s="6"/>
    </row>
    <row r="20" spans="1:17" ht="14.25" customHeight="1">
      <c r="A20" s="5"/>
      <c r="B20" s="5"/>
      <c r="C20" s="661"/>
      <c r="D20" s="662" t="s">
        <v>124</v>
      </c>
      <c r="E20" s="389">
        <v>2</v>
      </c>
      <c r="F20" s="142">
        <v>121131</v>
      </c>
      <c r="G20" s="660">
        <f>0+'[1]táj.2'!G20</f>
        <v>0</v>
      </c>
      <c r="H20" s="660">
        <f>0+'[1]táj.2'!H20</f>
        <v>0</v>
      </c>
      <c r="I20" s="660">
        <f>0+'[1]táj.2'!I20</f>
        <v>0</v>
      </c>
      <c r="J20" s="660">
        <f>2300+'[1]táj.2'!J20</f>
        <v>2300</v>
      </c>
      <c r="K20" s="660">
        <f>0+'[1]táj.2'!K20</f>
        <v>0</v>
      </c>
      <c r="L20" s="660">
        <f>0+'[1]táj.2'!L20</f>
        <v>0</v>
      </c>
      <c r="M20" s="660">
        <f>0+'[1]táj.2'!M20</f>
        <v>0</v>
      </c>
      <c r="N20" s="660">
        <f>0+'[1]táj.2'!N20</f>
        <v>0</v>
      </c>
      <c r="O20" s="660">
        <f>0+'[1]táj.2'!O20</f>
        <v>0</v>
      </c>
      <c r="P20" s="660">
        <f>0+'[1]táj.2'!P20</f>
        <v>0</v>
      </c>
      <c r="Q20" s="6">
        <f>SUM(G20:P20)</f>
        <v>2300</v>
      </c>
    </row>
    <row r="21" spans="1:17" ht="14.25" customHeight="1">
      <c r="A21" s="5"/>
      <c r="B21" s="5"/>
      <c r="C21" s="661"/>
      <c r="D21" s="662" t="s">
        <v>726</v>
      </c>
      <c r="E21" s="389"/>
      <c r="F21" s="142"/>
      <c r="G21" s="660"/>
      <c r="H21" s="660"/>
      <c r="I21" s="660"/>
      <c r="J21" s="660"/>
      <c r="K21" s="660"/>
      <c r="L21" s="660"/>
      <c r="M21" s="660"/>
      <c r="N21" s="660"/>
      <c r="O21" s="660"/>
      <c r="P21" s="660"/>
      <c r="Q21" s="6"/>
    </row>
    <row r="22" spans="1:17" ht="14.25" customHeight="1">
      <c r="A22" s="5"/>
      <c r="B22" s="5"/>
      <c r="C22" s="661"/>
      <c r="D22" s="662" t="s">
        <v>373</v>
      </c>
      <c r="E22" s="389">
        <v>2</v>
      </c>
      <c r="F22" s="142">
        <v>121130</v>
      </c>
      <c r="G22" s="660">
        <f>0+'[1]táj.2'!G22</f>
        <v>0</v>
      </c>
      <c r="H22" s="660">
        <f>0+'[1]táj.2'!H22</f>
        <v>0</v>
      </c>
      <c r="I22" s="660">
        <f>0+'[1]táj.2'!I22</f>
        <v>0</v>
      </c>
      <c r="J22" s="660">
        <f>2000+'[1]táj.2'!J22</f>
        <v>2000</v>
      </c>
      <c r="K22" s="660">
        <f>0+'[1]táj.2'!K22</f>
        <v>0</v>
      </c>
      <c r="L22" s="660">
        <f>0+'[1]táj.2'!L22</f>
        <v>0</v>
      </c>
      <c r="M22" s="660">
        <f>0+'[1]táj.2'!M22</f>
        <v>0</v>
      </c>
      <c r="N22" s="660">
        <f>0+'[1]táj.2'!N22</f>
        <v>0</v>
      </c>
      <c r="O22" s="660">
        <f>0+'[1]táj.2'!O22</f>
        <v>0</v>
      </c>
      <c r="P22" s="660">
        <f>0+'[1]táj.2'!P22</f>
        <v>0</v>
      </c>
      <c r="Q22" s="6">
        <f>SUM(G22:P22)</f>
        <v>2000</v>
      </c>
    </row>
    <row r="23" spans="1:17" ht="14.25" customHeight="1">
      <c r="A23" s="5"/>
      <c r="B23" s="5"/>
      <c r="C23" s="661"/>
      <c r="D23" s="662" t="s">
        <v>562</v>
      </c>
      <c r="E23" s="389"/>
      <c r="F23" s="142"/>
      <c r="G23" s="660">
        <f>0+'[1]táj.2'!G23</f>
        <v>0</v>
      </c>
      <c r="H23" s="660">
        <f>0+'[1]táj.2'!H23</f>
        <v>0</v>
      </c>
      <c r="I23" s="660">
        <f>0+'[1]táj.2'!I23</f>
        <v>0</v>
      </c>
      <c r="J23" s="660">
        <f>0+'[1]táj.2'!J23</f>
        <v>0</v>
      </c>
      <c r="K23" s="660">
        <f>0+'[1]táj.2'!K23</f>
        <v>0</v>
      </c>
      <c r="L23" s="660">
        <f>0+'[1]táj.2'!L23</f>
        <v>0</v>
      </c>
      <c r="M23" s="660">
        <f>0+'[1]táj.2'!M23</f>
        <v>0</v>
      </c>
      <c r="N23" s="660">
        <f>0+'[1]táj.2'!N23</f>
        <v>0</v>
      </c>
      <c r="O23" s="660">
        <f>0+'[1]táj.2'!O23</f>
        <v>0</v>
      </c>
      <c r="P23" s="660">
        <f>0+'[1]táj.2'!P23</f>
        <v>0</v>
      </c>
      <c r="Q23" s="6"/>
    </row>
    <row r="24" spans="1:17" ht="14.25" customHeight="1">
      <c r="A24" s="5"/>
      <c r="B24" s="5"/>
      <c r="C24" s="661"/>
      <c r="D24" s="662" t="s">
        <v>322</v>
      </c>
      <c r="E24" s="389">
        <v>1</v>
      </c>
      <c r="F24" s="7">
        <v>121204</v>
      </c>
      <c r="G24" s="660">
        <f>0+'[1]táj.2'!G24</f>
        <v>0</v>
      </c>
      <c r="H24" s="660">
        <f>0+'[1]táj.2'!H24</f>
        <v>0</v>
      </c>
      <c r="I24" s="660">
        <f>0+'[1]táj.2'!I24</f>
        <v>0</v>
      </c>
      <c r="J24" s="660">
        <f>12000+'[1]táj.2'!J24</f>
        <v>12000</v>
      </c>
      <c r="K24" s="660">
        <f>0+'[1]táj.2'!K24</f>
        <v>0</v>
      </c>
      <c r="L24" s="660">
        <f>0+'[1]táj.2'!L24</f>
        <v>0</v>
      </c>
      <c r="M24" s="660">
        <f>0+'[1]táj.2'!M24</f>
        <v>0</v>
      </c>
      <c r="N24" s="660">
        <f>0+'[1]táj.2'!N24</f>
        <v>0</v>
      </c>
      <c r="O24" s="660">
        <f>0+'[1]táj.2'!O24</f>
        <v>0</v>
      </c>
      <c r="P24" s="660">
        <f>0+'[1]táj.2'!P24</f>
        <v>0</v>
      </c>
      <c r="Q24" s="6">
        <f>SUM(G24:P24)</f>
        <v>12000</v>
      </c>
    </row>
    <row r="25" spans="1:17" ht="14.25" customHeight="1">
      <c r="A25" s="5"/>
      <c r="B25" s="5"/>
      <c r="C25" s="661"/>
      <c r="D25" s="667" t="s">
        <v>889</v>
      </c>
      <c r="E25" s="410">
        <v>1</v>
      </c>
      <c r="F25" s="7">
        <v>121132</v>
      </c>
      <c r="G25" s="660">
        <f>0+'[1]táj.2'!G25</f>
        <v>0</v>
      </c>
      <c r="H25" s="660">
        <f>0+'[1]táj.2'!H25</f>
        <v>0</v>
      </c>
      <c r="I25" s="660">
        <f>0+'[1]táj.2'!I25</f>
        <v>0</v>
      </c>
      <c r="J25" s="660">
        <f>250+'[1]táj.2'!J25</f>
        <v>250</v>
      </c>
      <c r="K25" s="660">
        <f>0+'[1]táj.2'!K25</f>
        <v>0</v>
      </c>
      <c r="L25" s="660">
        <f>0+'[1]táj.2'!L25</f>
        <v>0</v>
      </c>
      <c r="M25" s="660">
        <f>0+'[1]táj.2'!M25</f>
        <v>0</v>
      </c>
      <c r="N25" s="660">
        <f>0+'[1]táj.2'!N25</f>
        <v>0</v>
      </c>
      <c r="O25" s="660">
        <f>0+'[1]táj.2'!O25</f>
        <v>0</v>
      </c>
      <c r="P25" s="660">
        <f>0+'[1]táj.2'!P25</f>
        <v>0</v>
      </c>
      <c r="Q25" s="6">
        <f>SUM(G25:P25)</f>
        <v>250</v>
      </c>
    </row>
    <row r="26" spans="1:17" ht="14.25" customHeight="1">
      <c r="A26" s="5"/>
      <c r="B26" s="5"/>
      <c r="C26" s="661"/>
      <c r="D26" s="72" t="s">
        <v>910</v>
      </c>
      <c r="E26" s="389">
        <v>1</v>
      </c>
      <c r="F26" s="7">
        <v>121203</v>
      </c>
      <c r="G26" s="660">
        <f>0+'[1]táj.2'!G26</f>
        <v>0</v>
      </c>
      <c r="H26" s="660">
        <f>0+'[1]táj.2'!H26</f>
        <v>0</v>
      </c>
      <c r="I26" s="660">
        <f>800+'[1]táj.2'!I26</f>
        <v>800</v>
      </c>
      <c r="J26" s="660">
        <f>3400+'[1]táj.2'!J26</f>
        <v>3400</v>
      </c>
      <c r="K26" s="660">
        <f>0+'[1]táj.2'!K26</f>
        <v>0</v>
      </c>
      <c r="L26" s="660">
        <f>0+'[1]táj.2'!L26</f>
        <v>0</v>
      </c>
      <c r="M26" s="660">
        <f>0+'[1]táj.2'!M26</f>
        <v>0</v>
      </c>
      <c r="N26" s="660">
        <f>0+'[1]táj.2'!N26</f>
        <v>0</v>
      </c>
      <c r="O26" s="660">
        <f>0+'[1]táj.2'!O26</f>
        <v>0</v>
      </c>
      <c r="P26" s="660">
        <f>0+'[1]táj.2'!P26</f>
        <v>0</v>
      </c>
      <c r="Q26" s="6">
        <f>SUM(G26:P26)</f>
        <v>4200</v>
      </c>
    </row>
    <row r="27" spans="1:17" ht="14.25" customHeight="1">
      <c r="A27" s="5"/>
      <c r="B27" s="5"/>
      <c r="C27" s="661"/>
      <c r="D27" s="10" t="s">
        <v>806</v>
      </c>
      <c r="E27" s="389"/>
      <c r="F27" s="11"/>
      <c r="G27" s="660"/>
      <c r="H27" s="660"/>
      <c r="I27" s="660"/>
      <c r="J27" s="660"/>
      <c r="K27" s="660"/>
      <c r="L27" s="660"/>
      <c r="M27" s="660"/>
      <c r="N27" s="660"/>
      <c r="O27" s="660"/>
      <c r="P27" s="660"/>
      <c r="Q27" s="6"/>
    </row>
    <row r="28" spans="1:17" ht="14.25" customHeight="1">
      <c r="A28" s="5"/>
      <c r="B28" s="5"/>
      <c r="C28" s="661"/>
      <c r="D28" s="662" t="s">
        <v>865</v>
      </c>
      <c r="E28" s="389">
        <v>2</v>
      </c>
      <c r="F28" s="7">
        <v>121504</v>
      </c>
      <c r="G28" s="660">
        <f>0+'[1]táj.2'!G28</f>
        <v>0</v>
      </c>
      <c r="H28" s="660">
        <f>0+'[1]táj.2'!H28</f>
        <v>0</v>
      </c>
      <c r="I28" s="660">
        <f>0+'[1]táj.2'!I28</f>
        <v>0</v>
      </c>
      <c r="J28" s="660">
        <f>5000+'[1]táj.2'!J28</f>
        <v>5000</v>
      </c>
      <c r="K28" s="660">
        <f>0+'[1]táj.2'!K28</f>
        <v>0</v>
      </c>
      <c r="L28" s="660">
        <f>0+'[1]táj.2'!L28</f>
        <v>0</v>
      </c>
      <c r="M28" s="660">
        <f>0+'[1]táj.2'!M28</f>
        <v>0</v>
      </c>
      <c r="N28" s="660">
        <f>0+'[1]táj.2'!N28</f>
        <v>0</v>
      </c>
      <c r="O28" s="660">
        <f>0+'[1]táj.2'!O28</f>
        <v>0</v>
      </c>
      <c r="P28" s="660">
        <f>0+'[1]táj.2'!P28</f>
        <v>0</v>
      </c>
      <c r="Q28" s="6">
        <f>SUM(G28:P28)</f>
        <v>5000</v>
      </c>
    </row>
    <row r="29" spans="1:17" ht="14.25" customHeight="1">
      <c r="A29" s="5"/>
      <c r="B29" s="5"/>
      <c r="C29" s="661"/>
      <c r="D29" s="662" t="s">
        <v>727</v>
      </c>
      <c r="E29" s="389"/>
      <c r="F29" s="7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"/>
    </row>
    <row r="30" spans="1:17" ht="12" customHeight="1">
      <c r="A30" s="70"/>
      <c r="B30" s="668"/>
      <c r="C30" s="669"/>
      <c r="D30" s="11" t="s">
        <v>866</v>
      </c>
      <c r="E30" s="389">
        <v>1</v>
      </c>
      <c r="F30" s="11">
        <v>121403</v>
      </c>
      <c r="G30" s="660">
        <f>0+'[1]táj.2'!G30</f>
        <v>0</v>
      </c>
      <c r="H30" s="660">
        <f>0+'[1]táj.2'!H30</f>
        <v>0</v>
      </c>
      <c r="I30" s="660">
        <f>50+'[1]táj.2'!I30</f>
        <v>50</v>
      </c>
      <c r="J30" s="660">
        <f>0+'[1]táj.2'!J30</f>
        <v>0</v>
      </c>
      <c r="K30" s="660">
        <f>0+'[1]táj.2'!K30</f>
        <v>0</v>
      </c>
      <c r="L30" s="660">
        <f>0+'[1]táj.2'!L30</f>
        <v>0</v>
      </c>
      <c r="M30" s="660">
        <f>0+'[1]táj.2'!M30</f>
        <v>0</v>
      </c>
      <c r="N30" s="660">
        <f>0+'[1]táj.2'!N30</f>
        <v>0</v>
      </c>
      <c r="O30" s="660">
        <f>0+'[1]táj.2'!O30</f>
        <v>0</v>
      </c>
      <c r="P30" s="660">
        <f>0+'[1]táj.2'!P30</f>
        <v>0</v>
      </c>
      <c r="Q30" s="6">
        <f>SUM(G30:P30)</f>
        <v>50</v>
      </c>
    </row>
    <row r="31" spans="1:17" ht="12" customHeight="1">
      <c r="A31" s="70"/>
      <c r="B31" s="668"/>
      <c r="C31" s="669"/>
      <c r="D31" s="11" t="s">
        <v>890</v>
      </c>
      <c r="E31" s="10"/>
      <c r="F31" s="11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"/>
    </row>
    <row r="32" spans="1:17" ht="12" customHeight="1">
      <c r="A32" s="70"/>
      <c r="B32" s="70"/>
      <c r="C32" s="127"/>
      <c r="D32" s="10" t="s">
        <v>867</v>
      </c>
      <c r="E32" s="10">
        <v>1</v>
      </c>
      <c r="F32" s="11">
        <v>121301</v>
      </c>
      <c r="G32" s="660">
        <f>0+'[1]táj.2'!G32</f>
        <v>0</v>
      </c>
      <c r="H32" s="660">
        <f>0+'[1]táj.2'!H32</f>
        <v>0</v>
      </c>
      <c r="I32" s="660">
        <f>0+'[1]táj.2'!I32</f>
        <v>0</v>
      </c>
      <c r="J32" s="660">
        <f>2400+'[1]táj.2'!J32</f>
        <v>0</v>
      </c>
      <c r="K32" s="660">
        <f>0+'[1]táj.2'!K32</f>
        <v>0</v>
      </c>
      <c r="L32" s="660">
        <f>0+'[1]táj.2'!L32</f>
        <v>0</v>
      </c>
      <c r="M32" s="660">
        <f>0+'[1]táj.2'!M32</f>
        <v>0</v>
      </c>
      <c r="N32" s="660">
        <f>0+'[1]táj.2'!N32</f>
        <v>0</v>
      </c>
      <c r="O32" s="660">
        <f>0+'[1]táj.2'!O32</f>
        <v>0</v>
      </c>
      <c r="P32" s="660">
        <f>0+'[1]táj.2'!P32</f>
        <v>0</v>
      </c>
      <c r="Q32" s="6">
        <f>SUM(G32:P32)</f>
        <v>0</v>
      </c>
    </row>
    <row r="33" spans="1:17" ht="12" customHeight="1">
      <c r="A33" s="70"/>
      <c r="B33" s="70"/>
      <c r="C33" s="127"/>
      <c r="D33" s="124" t="s">
        <v>728</v>
      </c>
      <c r="E33" s="389"/>
      <c r="F33" s="11"/>
      <c r="G33" s="660"/>
      <c r="H33" s="660"/>
      <c r="I33" s="660"/>
      <c r="J33" s="660"/>
      <c r="K33" s="660"/>
      <c r="L33" s="660"/>
      <c r="M33" s="660"/>
      <c r="N33" s="660"/>
      <c r="O33" s="660"/>
      <c r="P33" s="660"/>
      <c r="Q33" s="6"/>
    </row>
    <row r="34" spans="1:17" ht="12" customHeight="1">
      <c r="A34" s="70"/>
      <c r="B34" s="70"/>
      <c r="C34" s="127"/>
      <c r="D34" s="78" t="s">
        <v>587</v>
      </c>
      <c r="E34" s="389">
        <v>2</v>
      </c>
      <c r="F34" s="11">
        <v>221902</v>
      </c>
      <c r="G34" s="660">
        <f>0+'[1]táj.2'!G34</f>
        <v>0</v>
      </c>
      <c r="H34" s="660">
        <f>0+'[1]táj.2'!H34</f>
        <v>0</v>
      </c>
      <c r="I34" s="660">
        <f>30802+'[1]táj.2'!I34</f>
        <v>29558</v>
      </c>
      <c r="J34" s="660">
        <f>0+'[1]táj.2'!J34</f>
        <v>0</v>
      </c>
      <c r="K34" s="660">
        <f>0+'[1]táj.2'!K34</f>
        <v>0</v>
      </c>
      <c r="L34" s="660">
        <f>0+'[1]táj.2'!L34</f>
        <v>635</v>
      </c>
      <c r="M34" s="660">
        <f>0+'[1]táj.2'!M34</f>
        <v>0</v>
      </c>
      <c r="N34" s="660">
        <f>0+'[1]táj.2'!N34</f>
        <v>0</v>
      </c>
      <c r="O34" s="660">
        <f>0+'[1]táj.2'!O34</f>
        <v>0</v>
      </c>
      <c r="P34" s="660">
        <f>0+'[1]táj.2'!P34</f>
        <v>0</v>
      </c>
      <c r="Q34" s="6">
        <f>SUM(G34:P34)</f>
        <v>30193</v>
      </c>
    </row>
    <row r="35" spans="1:17" ht="12" customHeight="1">
      <c r="A35" s="70"/>
      <c r="B35" s="70"/>
      <c r="C35" s="127"/>
      <c r="D35" s="79" t="s">
        <v>588</v>
      </c>
      <c r="E35" s="389">
        <v>2</v>
      </c>
      <c r="F35" s="11" t="s">
        <v>307</v>
      </c>
      <c r="G35" s="660">
        <f>0+'[1]táj.2'!G35</f>
        <v>0</v>
      </c>
      <c r="H35" s="660">
        <f>4950+'[1]táj.2'!H35</f>
        <v>4950</v>
      </c>
      <c r="I35" s="660">
        <f>150+'[1]táj.2'!I35</f>
        <v>150</v>
      </c>
      <c r="J35" s="660">
        <f>14900+'[1]táj.2'!J35</f>
        <v>14900</v>
      </c>
      <c r="K35" s="660">
        <f>0+'[1]táj.2'!K35</f>
        <v>0</v>
      </c>
      <c r="L35" s="660">
        <f>0+'[1]táj.2'!L35</f>
        <v>0</v>
      </c>
      <c r="M35" s="660">
        <f>0+'[1]táj.2'!M35</f>
        <v>0</v>
      </c>
      <c r="N35" s="660">
        <f>0+'[1]táj.2'!N35</f>
        <v>0</v>
      </c>
      <c r="O35" s="660">
        <f>0+'[1]táj.2'!O35</f>
        <v>0</v>
      </c>
      <c r="P35" s="660">
        <f>0+'[1]táj.2'!P35</f>
        <v>0</v>
      </c>
      <c r="Q35" s="6">
        <f>SUM(G35:P35)</f>
        <v>20000</v>
      </c>
    </row>
    <row r="36" spans="1:17" ht="13.5" customHeight="1">
      <c r="A36" s="70"/>
      <c r="B36" s="70"/>
      <c r="C36" s="127"/>
      <c r="D36" s="125" t="s">
        <v>144</v>
      </c>
      <c r="E36" s="389"/>
      <c r="F36" s="11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"/>
    </row>
    <row r="37" spans="1:17" ht="13.5" customHeight="1">
      <c r="A37" s="70"/>
      <c r="B37" s="70"/>
      <c r="C37" s="127"/>
      <c r="D37" s="10" t="s">
        <v>1170</v>
      </c>
      <c r="E37" s="389">
        <v>1</v>
      </c>
      <c r="F37" s="11">
        <v>121601</v>
      </c>
      <c r="G37" s="660">
        <f>0+'[1]táj.2'!G37</f>
        <v>0</v>
      </c>
      <c r="H37" s="660">
        <f>0+'[1]táj.2'!H37</f>
        <v>0</v>
      </c>
      <c r="I37" s="660">
        <f>300+'[1]táj.2'!I37</f>
        <v>300</v>
      </c>
      <c r="J37" s="660">
        <f>0+'[1]táj.2'!J37</f>
        <v>0</v>
      </c>
      <c r="K37" s="660">
        <f>200+'[1]táj.2'!K37</f>
        <v>200</v>
      </c>
      <c r="L37" s="660">
        <f>0+'[1]táj.2'!L37</f>
        <v>0</v>
      </c>
      <c r="M37" s="660">
        <f>0+'[1]táj.2'!M37</f>
        <v>0</v>
      </c>
      <c r="N37" s="660">
        <f>0+'[1]táj.2'!N37</f>
        <v>0</v>
      </c>
      <c r="O37" s="660">
        <f>0+'[1]táj.2'!O37</f>
        <v>0</v>
      </c>
      <c r="P37" s="660">
        <f>0+'[1]táj.2'!P37</f>
        <v>0</v>
      </c>
      <c r="Q37" s="6">
        <f>SUM(G37:P37)</f>
        <v>500</v>
      </c>
    </row>
    <row r="38" spans="1:17" ht="13.5" customHeight="1">
      <c r="A38" s="70"/>
      <c r="B38" s="70"/>
      <c r="C38" s="127"/>
      <c r="D38" s="122" t="s">
        <v>811</v>
      </c>
      <c r="E38" s="389"/>
      <c r="F38" s="142"/>
      <c r="G38" s="660"/>
      <c r="H38" s="660"/>
      <c r="I38" s="660"/>
      <c r="J38" s="660"/>
      <c r="K38" s="660"/>
      <c r="L38" s="660"/>
      <c r="M38" s="660"/>
      <c r="N38" s="660"/>
      <c r="O38" s="660"/>
      <c r="P38" s="660"/>
      <c r="Q38" s="6"/>
    </row>
    <row r="39" spans="1:17" ht="13.5" customHeight="1">
      <c r="A39" s="70"/>
      <c r="B39" s="70"/>
      <c r="C39" s="127"/>
      <c r="D39" s="10" t="s">
        <v>697</v>
      </c>
      <c r="E39" s="393">
        <v>2</v>
      </c>
      <c r="F39" s="11">
        <v>121517</v>
      </c>
      <c r="G39" s="660">
        <f>0+'[1]táj.2'!G39</f>
        <v>0</v>
      </c>
      <c r="H39" s="6"/>
      <c r="I39" s="660">
        <f>0+'[1]táj.2'!I39</f>
        <v>0</v>
      </c>
      <c r="J39" s="660">
        <f>0+'[1]táj.2'!J39</f>
        <v>0</v>
      </c>
      <c r="K39" s="660">
        <f>3000+'[1]táj.2'!K39</f>
        <v>3000</v>
      </c>
      <c r="L39" s="660">
        <f>0+'[1]táj.2'!L39</f>
        <v>0</v>
      </c>
      <c r="M39" s="660">
        <f>0+'[1]táj.2'!M39</f>
        <v>0</v>
      </c>
      <c r="N39" s="660">
        <f>0+'[1]táj.2'!N39</f>
        <v>0</v>
      </c>
      <c r="O39" s="660">
        <f>0+'[1]táj.2'!O39</f>
        <v>0</v>
      </c>
      <c r="P39" s="660">
        <f>0+'[1]táj.2'!P39</f>
        <v>0</v>
      </c>
      <c r="Q39" s="6">
        <f>SUM(G39:P39)</f>
        <v>3000</v>
      </c>
    </row>
    <row r="40" spans="1:17" ht="13.5">
      <c r="A40" s="65"/>
      <c r="B40" s="65"/>
      <c r="C40" s="126"/>
      <c r="D40" s="66" t="s">
        <v>644</v>
      </c>
      <c r="E40" s="385"/>
      <c r="F40" s="69"/>
      <c r="G40" s="411">
        <f aca="true" t="shared" si="1" ref="G40:Q40">SUM(G7:G39)</f>
        <v>0</v>
      </c>
      <c r="H40" s="68">
        <f t="shared" si="1"/>
        <v>4950</v>
      </c>
      <c r="I40" s="68">
        <f t="shared" si="1"/>
        <v>36138</v>
      </c>
      <c r="J40" s="68">
        <f t="shared" si="1"/>
        <v>89350</v>
      </c>
      <c r="K40" s="68">
        <f t="shared" si="1"/>
        <v>3200</v>
      </c>
      <c r="L40" s="68">
        <f t="shared" si="1"/>
        <v>635</v>
      </c>
      <c r="M40" s="68">
        <f t="shared" si="1"/>
        <v>0</v>
      </c>
      <c r="N40" s="68">
        <f t="shared" si="1"/>
        <v>0</v>
      </c>
      <c r="O40" s="68">
        <f t="shared" si="1"/>
        <v>0</v>
      </c>
      <c r="P40" s="68">
        <f t="shared" si="1"/>
        <v>0</v>
      </c>
      <c r="Q40" s="68">
        <f t="shared" si="1"/>
        <v>134273</v>
      </c>
    </row>
    <row r="41" spans="1:17" ht="13.5">
      <c r="A41" s="74"/>
      <c r="B41" s="74"/>
      <c r="C41" s="127"/>
      <c r="D41" s="10" t="s">
        <v>938</v>
      </c>
      <c r="E41" s="384"/>
      <c r="F41" s="11"/>
      <c r="G41" s="670"/>
      <c r="H41" s="619"/>
      <c r="I41" s="619"/>
      <c r="J41" s="619"/>
      <c r="K41" s="619"/>
      <c r="L41" s="619"/>
      <c r="M41" s="619"/>
      <c r="N41" s="619"/>
      <c r="O41" s="619"/>
      <c r="P41" s="619"/>
      <c r="Q41" s="619"/>
    </row>
    <row r="42" spans="1:17" ht="24">
      <c r="A42" s="74"/>
      <c r="B42" s="74"/>
      <c r="C42" s="127" t="s">
        <v>597</v>
      </c>
      <c r="D42" s="671" t="s">
        <v>377</v>
      </c>
      <c r="E42" s="384"/>
      <c r="F42" s="11">
        <v>121401</v>
      </c>
      <c r="G42" s="672">
        <f>0+'[1]táj.2'!G42</f>
        <v>0</v>
      </c>
      <c r="H42" s="672">
        <f>0+'[1]táj.2'!H42</f>
        <v>0</v>
      </c>
      <c r="I42" s="672">
        <f>0+'[1]táj.2'!I42</f>
        <v>0</v>
      </c>
      <c r="J42" s="672">
        <f>0+'[1]táj.2'!J42</f>
        <v>0</v>
      </c>
      <c r="K42" s="672">
        <f>0+'[1]táj.2'!K42</f>
        <v>0</v>
      </c>
      <c r="L42" s="672">
        <f>0+'[1]táj.2'!L42</f>
        <v>0</v>
      </c>
      <c r="M42" s="672">
        <f>0+'[1]táj.2'!M42</f>
        <v>0</v>
      </c>
      <c r="N42" s="672">
        <f>14610+'[1]táj.2'!N42</f>
        <v>14610</v>
      </c>
      <c r="O42" s="672">
        <f>0+'[1]táj.2'!O42</f>
        <v>0</v>
      </c>
      <c r="P42" s="672">
        <f>0+'[1]táj.2'!P42</f>
        <v>0</v>
      </c>
      <c r="Q42" s="11">
        <f>SUM(G42:P42)</f>
        <v>14610</v>
      </c>
    </row>
    <row r="43" spans="1:17" ht="12.75">
      <c r="A43" s="74"/>
      <c r="B43" s="74"/>
      <c r="C43" s="127"/>
      <c r="D43" s="10" t="s">
        <v>686</v>
      </c>
      <c r="E43" s="384"/>
      <c r="F43" s="11"/>
      <c r="G43" s="672"/>
      <c r="H43" s="672"/>
      <c r="I43" s="672"/>
      <c r="J43" s="672"/>
      <c r="K43" s="672"/>
      <c r="L43" s="672"/>
      <c r="M43" s="672"/>
      <c r="N43" s="672"/>
      <c r="O43" s="672"/>
      <c r="P43" s="672"/>
      <c r="Q43" s="11"/>
    </row>
    <row r="44" spans="1:17" ht="24">
      <c r="A44" s="74"/>
      <c r="B44" s="74"/>
      <c r="C44" s="127" t="s">
        <v>388</v>
      </c>
      <c r="D44" s="673" t="s">
        <v>768</v>
      </c>
      <c r="E44" s="384"/>
      <c r="F44" s="11">
        <v>121405</v>
      </c>
      <c r="G44" s="672">
        <f>0+'[1]táj.2'!G44</f>
        <v>0</v>
      </c>
      <c r="H44" s="672">
        <f>0+'[1]táj.2'!H44</f>
        <v>0</v>
      </c>
      <c r="I44" s="672">
        <f>0+'[1]táj.2'!I44</f>
        <v>0</v>
      </c>
      <c r="J44" s="672">
        <f>0+'[1]táj.2'!J44</f>
        <v>0</v>
      </c>
      <c r="K44" s="672">
        <f>0+'[1]táj.2'!K44</f>
        <v>0</v>
      </c>
      <c r="L44" s="672">
        <f>0+'[1]táj.2'!L44</f>
        <v>0</v>
      </c>
      <c r="M44" s="672">
        <f>0+'[1]táj.2'!M44</f>
        <v>0</v>
      </c>
      <c r="N44" s="672">
        <f>2400+'[1]táj.2'!N44</f>
        <v>3300</v>
      </c>
      <c r="O44" s="672">
        <f>0+'[1]táj.2'!O44</f>
        <v>0</v>
      </c>
      <c r="P44" s="672">
        <f>0+'[1]táj.2'!P44</f>
        <v>0</v>
      </c>
      <c r="Q44" s="11">
        <f>SUM(G44:P44)</f>
        <v>3300</v>
      </c>
    </row>
    <row r="45" spans="1:17" ht="24">
      <c r="A45" s="74"/>
      <c r="B45" s="74"/>
      <c r="C45" s="127" t="s">
        <v>389</v>
      </c>
      <c r="D45" s="674" t="s">
        <v>434</v>
      </c>
      <c r="E45" s="384"/>
      <c r="F45" s="11">
        <v>121402</v>
      </c>
      <c r="G45" s="672">
        <f>0+'[1]táj.2'!G45</f>
        <v>0</v>
      </c>
      <c r="H45" s="672">
        <f>0+'[1]táj.2'!H45</f>
        <v>0</v>
      </c>
      <c r="I45" s="672">
        <f>0+'[1]táj.2'!I45</f>
        <v>0</v>
      </c>
      <c r="J45" s="672">
        <f>0+'[1]táj.2'!J45</f>
        <v>0</v>
      </c>
      <c r="K45" s="672">
        <f>0+'[1]táj.2'!K45</f>
        <v>0</v>
      </c>
      <c r="L45" s="672">
        <f>0+'[1]táj.2'!L45</f>
        <v>0</v>
      </c>
      <c r="M45" s="672">
        <f>0+'[1]táj.2'!M45</f>
        <v>0</v>
      </c>
      <c r="N45" s="672">
        <f>19019+'[1]táj.2'!N45</f>
        <v>19019</v>
      </c>
      <c r="O45" s="672">
        <f>0+'[1]táj.2'!O45</f>
        <v>0</v>
      </c>
      <c r="P45" s="672">
        <f>0+'[1]táj.2'!P45</f>
        <v>0</v>
      </c>
      <c r="Q45" s="11">
        <f>SUM(G45:P45)</f>
        <v>19019</v>
      </c>
    </row>
    <row r="46" spans="1:17" ht="13.5">
      <c r="A46" s="65"/>
      <c r="B46" s="65"/>
      <c r="C46" s="126"/>
      <c r="D46" s="66" t="s">
        <v>643</v>
      </c>
      <c r="E46" s="385"/>
      <c r="F46" s="69"/>
      <c r="G46" s="411">
        <f aca="true" t="shared" si="2" ref="G46:Q46">SUM(G40:G45)</f>
        <v>0</v>
      </c>
      <c r="H46" s="68">
        <f t="shared" si="2"/>
        <v>4950</v>
      </c>
      <c r="I46" s="68">
        <f t="shared" si="2"/>
        <v>36138</v>
      </c>
      <c r="J46" s="68">
        <f t="shared" si="2"/>
        <v>89350</v>
      </c>
      <c r="K46" s="68">
        <f t="shared" si="2"/>
        <v>3200</v>
      </c>
      <c r="L46" s="68">
        <f t="shared" si="2"/>
        <v>635</v>
      </c>
      <c r="M46" s="68">
        <f t="shared" si="2"/>
        <v>0</v>
      </c>
      <c r="N46" s="68">
        <f t="shared" si="2"/>
        <v>36929</v>
      </c>
      <c r="O46" s="68">
        <f t="shared" si="2"/>
        <v>0</v>
      </c>
      <c r="P46" s="68">
        <f t="shared" si="2"/>
        <v>0</v>
      </c>
      <c r="Q46" s="68">
        <f t="shared" si="2"/>
        <v>171202</v>
      </c>
    </row>
    <row r="47" spans="1:17" ht="12" customHeight="1">
      <c r="A47" s="70">
        <v>1</v>
      </c>
      <c r="B47" s="70">
        <v>13</v>
      </c>
      <c r="C47" s="70"/>
      <c r="D47" s="140" t="s">
        <v>640</v>
      </c>
      <c r="E47" s="386" t="s">
        <v>324</v>
      </c>
      <c r="F47" s="12"/>
      <c r="G47" s="13"/>
      <c r="H47" s="6"/>
      <c r="I47" s="6"/>
      <c r="J47" s="6"/>
      <c r="K47" s="6"/>
      <c r="L47" s="6"/>
      <c r="M47" s="12"/>
      <c r="N47" s="12"/>
      <c r="O47" s="12"/>
      <c r="P47" s="12"/>
      <c r="Q47" s="12"/>
    </row>
    <row r="48" spans="1:17" ht="12">
      <c r="A48" s="70"/>
      <c r="B48" s="70"/>
      <c r="C48" s="127"/>
      <c r="D48" s="106" t="s">
        <v>430</v>
      </c>
      <c r="E48" s="386"/>
      <c r="F48" s="12"/>
      <c r="G48" s="13"/>
      <c r="H48" s="6"/>
      <c r="I48" s="6"/>
      <c r="J48" s="6"/>
      <c r="K48" s="6"/>
      <c r="L48" s="6"/>
      <c r="M48" s="12"/>
      <c r="N48" s="12"/>
      <c r="O48" s="12"/>
      <c r="P48" s="12"/>
      <c r="Q48" s="12"/>
    </row>
    <row r="49" spans="1:17" ht="12" customHeight="1">
      <c r="A49" s="70"/>
      <c r="B49" s="70"/>
      <c r="C49" s="127"/>
      <c r="D49" s="72" t="s">
        <v>807</v>
      </c>
      <c r="E49" s="387"/>
      <c r="F49" s="142"/>
      <c r="G49" s="71"/>
      <c r="H49" s="6"/>
      <c r="I49" s="6"/>
      <c r="J49" s="6"/>
      <c r="K49" s="6"/>
      <c r="L49" s="6"/>
      <c r="M49" s="11"/>
      <c r="N49" s="11"/>
      <c r="O49" s="11"/>
      <c r="P49" s="11"/>
      <c r="Q49" s="11"/>
    </row>
    <row r="50" spans="1:17" ht="27" customHeight="1">
      <c r="A50" s="70"/>
      <c r="B50" s="70"/>
      <c r="C50" s="127"/>
      <c r="D50" s="122" t="s">
        <v>840</v>
      </c>
      <c r="E50" s="10">
        <v>2</v>
      </c>
      <c r="F50" s="11">
        <v>131112</v>
      </c>
      <c r="G50" s="71">
        <f>0+'[1]táj.2'!G50</f>
        <v>0</v>
      </c>
      <c r="H50" s="71">
        <f>0+'[1]táj.2'!H50</f>
        <v>0</v>
      </c>
      <c r="I50" s="71">
        <f>0+'[1]táj.2'!I50</f>
        <v>0</v>
      </c>
      <c r="J50" s="71">
        <f>0+'[1]táj.2'!J50</f>
        <v>0</v>
      </c>
      <c r="K50" s="71">
        <f>12000+'[1]táj.2'!K50</f>
        <v>12000</v>
      </c>
      <c r="L50" s="71">
        <f>0+'[1]táj.2'!L50</f>
        <v>0</v>
      </c>
      <c r="M50" s="71">
        <f>0+'[1]táj.2'!M50</f>
        <v>0</v>
      </c>
      <c r="N50" s="71">
        <f>0+'[1]táj.2'!N50</f>
        <v>0</v>
      </c>
      <c r="O50" s="71">
        <f>0+'[1]táj.2'!O50</f>
        <v>0</v>
      </c>
      <c r="P50" s="71">
        <f>0+'[1]táj.2'!P50</f>
        <v>0</v>
      </c>
      <c r="Q50" s="11">
        <f>SUM(G50:P50)</f>
        <v>12000</v>
      </c>
    </row>
    <row r="51" spans="1:17" ht="24.75" customHeight="1">
      <c r="A51" s="70"/>
      <c r="B51" s="70"/>
      <c r="C51" s="127"/>
      <c r="D51" s="471" t="s">
        <v>660</v>
      </c>
      <c r="E51" s="10">
        <v>2</v>
      </c>
      <c r="F51" s="11">
        <v>131123</v>
      </c>
      <c r="G51" s="71">
        <f>0+'[1]táj.2'!G51</f>
        <v>0</v>
      </c>
      <c r="H51" s="71">
        <f>0+'[1]táj.2'!H51</f>
        <v>0</v>
      </c>
      <c r="I51" s="71">
        <f>0+'[1]táj.2'!I51</f>
        <v>0</v>
      </c>
      <c r="J51" s="71">
        <f>0+'[1]táj.2'!J51</f>
        <v>0</v>
      </c>
      <c r="K51" s="71">
        <f>3000+'[1]táj.2'!K51</f>
        <v>2960</v>
      </c>
      <c r="L51" s="71">
        <f>0+'[1]táj.2'!L51</f>
        <v>0</v>
      </c>
      <c r="M51" s="71">
        <f>0+'[1]táj.2'!M51</f>
        <v>0</v>
      </c>
      <c r="N51" s="71">
        <f>0+'[1]táj.2'!N51</f>
        <v>40</v>
      </c>
      <c r="O51" s="71">
        <f>0+'[1]táj.2'!O51</f>
        <v>0</v>
      </c>
      <c r="P51" s="71">
        <f>0+'[1]táj.2'!P51</f>
        <v>0</v>
      </c>
      <c r="Q51" s="11">
        <f>SUM(G51:P51)</f>
        <v>3000</v>
      </c>
    </row>
    <row r="52" spans="1:17" ht="15" customHeight="1">
      <c r="A52" s="70"/>
      <c r="B52" s="70"/>
      <c r="C52" s="127"/>
      <c r="D52" s="471" t="s">
        <v>334</v>
      </c>
      <c r="E52" s="10">
        <v>2</v>
      </c>
      <c r="F52" s="11">
        <v>131122</v>
      </c>
      <c r="G52" s="71">
        <f>1173+'[1]táj.2'!G52</f>
        <v>1173</v>
      </c>
      <c r="H52" s="71">
        <f>477+'[1]táj.2'!H52</f>
        <v>477</v>
      </c>
      <c r="I52" s="71">
        <f>0+'[1]táj.2'!I52</f>
        <v>0</v>
      </c>
      <c r="J52" s="71">
        <f>0+'[1]táj.2'!J52</f>
        <v>0</v>
      </c>
      <c r="K52" s="71">
        <f>350+'[1]táj.2'!K52</f>
        <v>450</v>
      </c>
      <c r="L52" s="71">
        <f>0+'[1]táj.2'!L52</f>
        <v>0</v>
      </c>
      <c r="M52" s="71">
        <f>0+'[1]táj.2'!M52</f>
        <v>0</v>
      </c>
      <c r="N52" s="71">
        <f>0+'[1]táj.2'!N52</f>
        <v>0</v>
      </c>
      <c r="O52" s="71">
        <f>0+'[1]táj.2'!O52</f>
        <v>0</v>
      </c>
      <c r="P52" s="71">
        <f>0+'[1]táj.2'!P52</f>
        <v>0</v>
      </c>
      <c r="Q52" s="11">
        <f>SUM(G52:P52)</f>
        <v>2100</v>
      </c>
    </row>
    <row r="53" spans="1:17" ht="15" customHeight="1">
      <c r="A53" s="70"/>
      <c r="B53" s="70"/>
      <c r="C53" s="127"/>
      <c r="D53" s="10" t="s">
        <v>987</v>
      </c>
      <c r="E53" s="10">
        <v>2</v>
      </c>
      <c r="F53" s="11">
        <v>131107</v>
      </c>
      <c r="G53" s="71">
        <f>0+'[1]táj.2'!G53</f>
        <v>0</v>
      </c>
      <c r="H53" s="71">
        <f>0+'[1]táj.2'!H53</f>
        <v>0</v>
      </c>
      <c r="I53" s="71">
        <f>0+'[1]táj.2'!I53</f>
        <v>0</v>
      </c>
      <c r="J53" s="71">
        <f>0+'[1]táj.2'!J53</f>
        <v>0</v>
      </c>
      <c r="K53" s="71">
        <f>50000+'[1]táj.2'!K53</f>
        <v>50000</v>
      </c>
      <c r="L53" s="71">
        <f>0+'[1]táj.2'!L53</f>
        <v>0</v>
      </c>
      <c r="M53" s="71">
        <f>0+'[1]táj.2'!M53</f>
        <v>0</v>
      </c>
      <c r="N53" s="71">
        <f>0+'[1]táj.2'!N53</f>
        <v>0</v>
      </c>
      <c r="O53" s="71">
        <f>0+'[1]táj.2'!O53</f>
        <v>0</v>
      </c>
      <c r="P53" s="71">
        <f>0+'[1]táj.2'!P53</f>
        <v>0</v>
      </c>
      <c r="Q53" s="11">
        <f>SUM(G53:P53)</f>
        <v>50000</v>
      </c>
    </row>
    <row r="54" spans="1:17" ht="15" customHeight="1">
      <c r="A54" s="70"/>
      <c r="B54" s="70"/>
      <c r="C54" s="127"/>
      <c r="D54" s="10" t="s">
        <v>244</v>
      </c>
      <c r="E54" s="10">
        <v>2</v>
      </c>
      <c r="F54" s="11">
        <v>131128</v>
      </c>
      <c r="G54" s="71">
        <f>0+'[1]táj.2'!G54</f>
        <v>0</v>
      </c>
      <c r="H54" s="71">
        <f>0+'[1]táj.2'!H54</f>
        <v>0</v>
      </c>
      <c r="I54" s="71">
        <f>0+'[1]táj.2'!I54</f>
        <v>0</v>
      </c>
      <c r="J54" s="71">
        <f>0+'[1]táj.2'!J54</f>
        <v>0</v>
      </c>
      <c r="K54" s="71">
        <f>7530+'[1]táj.2'!K54</f>
        <v>7530</v>
      </c>
      <c r="L54" s="71">
        <f>0+'[1]táj.2'!L54</f>
        <v>0</v>
      </c>
      <c r="M54" s="71">
        <f>0+'[1]táj.2'!M54</f>
        <v>0</v>
      </c>
      <c r="N54" s="71">
        <f>0+'[1]táj.2'!N54</f>
        <v>0</v>
      </c>
      <c r="O54" s="71">
        <f>0+'[1]táj.2'!O54</f>
        <v>0</v>
      </c>
      <c r="P54" s="71">
        <f>0+'[1]táj.2'!P54</f>
        <v>0</v>
      </c>
      <c r="Q54" s="11">
        <f>SUM(G54:P54)</f>
        <v>7530</v>
      </c>
    </row>
    <row r="55" spans="1:17" ht="13.5" customHeight="1">
      <c r="A55" s="70"/>
      <c r="B55" s="70"/>
      <c r="C55" s="127"/>
      <c r="D55" s="123" t="s">
        <v>431</v>
      </c>
      <c r="E55" s="402"/>
      <c r="F55" s="286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11"/>
    </row>
    <row r="56" spans="1:17" ht="24.75" customHeight="1">
      <c r="A56" s="70"/>
      <c r="B56" s="70"/>
      <c r="C56" s="127"/>
      <c r="D56" s="471" t="s">
        <v>145</v>
      </c>
      <c r="E56" s="388"/>
      <c r="F56" s="143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11"/>
    </row>
    <row r="57" spans="1:17" ht="15" customHeight="1">
      <c r="A57" s="70"/>
      <c r="B57" s="70"/>
      <c r="C57" s="127"/>
      <c r="D57" s="10" t="s">
        <v>187</v>
      </c>
      <c r="E57" s="10">
        <v>2</v>
      </c>
      <c r="F57" s="11">
        <v>131201</v>
      </c>
      <c r="G57" s="71">
        <f>200+'[1]táj.2'!G57</f>
        <v>200</v>
      </c>
      <c r="H57" s="71">
        <f>80+'[1]táj.2'!H57</f>
        <v>80</v>
      </c>
      <c r="I57" s="71">
        <f>1220+'[1]táj.2'!I57</f>
        <v>1100</v>
      </c>
      <c r="J57" s="71">
        <f>0+'[1]táj.2'!J57</f>
        <v>0</v>
      </c>
      <c r="K57" s="71">
        <f>0+'[1]táj.2'!K57</f>
        <v>120</v>
      </c>
      <c r="L57" s="71">
        <f>0+'[1]táj.2'!L57</f>
        <v>0</v>
      </c>
      <c r="M57" s="71">
        <f>0+'[1]táj.2'!M57</f>
        <v>0</v>
      </c>
      <c r="N57" s="71">
        <f>0+'[1]táj.2'!N57</f>
        <v>0</v>
      </c>
      <c r="O57" s="71">
        <f>0+'[1]táj.2'!O57</f>
        <v>0</v>
      </c>
      <c r="P57" s="71">
        <f>0+'[1]táj.2'!P57</f>
        <v>0</v>
      </c>
      <c r="Q57" s="11">
        <f aca="true" t="shared" si="3" ref="Q57:Q62">SUM(G57:P57)</f>
        <v>1500</v>
      </c>
    </row>
    <row r="58" spans="1:17" ht="15" customHeight="1">
      <c r="A58" s="70"/>
      <c r="B58" s="70"/>
      <c r="C58" s="127"/>
      <c r="D58" s="10" t="s">
        <v>834</v>
      </c>
      <c r="E58" s="10">
        <v>2</v>
      </c>
      <c r="F58" s="11">
        <v>131202</v>
      </c>
      <c r="G58" s="71">
        <f>200+'[1]táj.2'!G58</f>
        <v>200</v>
      </c>
      <c r="H58" s="71">
        <f>80+'[1]táj.2'!H58</f>
        <v>80</v>
      </c>
      <c r="I58" s="71">
        <f>938+'[1]táj.2'!I58</f>
        <v>938</v>
      </c>
      <c r="J58" s="71">
        <f>0+'[1]táj.2'!J58</f>
        <v>0</v>
      </c>
      <c r="K58" s="71">
        <f>0+'[1]táj.2'!K58</f>
        <v>0</v>
      </c>
      <c r="L58" s="71">
        <f>0+'[1]táj.2'!L58</f>
        <v>0</v>
      </c>
      <c r="M58" s="71">
        <f>0+'[1]táj.2'!M58</f>
        <v>0</v>
      </c>
      <c r="N58" s="71">
        <f>0+'[1]táj.2'!N58</f>
        <v>0</v>
      </c>
      <c r="O58" s="71">
        <f>0+'[1]táj.2'!O58</f>
        <v>0</v>
      </c>
      <c r="P58" s="71">
        <f>0+'[1]táj.2'!P58</f>
        <v>0</v>
      </c>
      <c r="Q58" s="11">
        <f t="shared" si="3"/>
        <v>1218</v>
      </c>
    </row>
    <row r="59" spans="1:17" ht="15" customHeight="1">
      <c r="A59" s="70"/>
      <c r="B59" s="70"/>
      <c r="C59" s="127"/>
      <c r="D59" s="10" t="s">
        <v>605</v>
      </c>
      <c r="E59" s="10">
        <v>2</v>
      </c>
      <c r="F59" s="11">
        <v>131205</v>
      </c>
      <c r="G59" s="71">
        <f>100+'[1]táj.2'!G59</f>
        <v>50</v>
      </c>
      <c r="H59" s="71">
        <f>41+'[1]táj.2'!H59</f>
        <v>21</v>
      </c>
      <c r="I59" s="71">
        <f>1509+'[1]táj.2'!I59</f>
        <v>79</v>
      </c>
      <c r="J59" s="71">
        <f>0+'[1]táj.2'!J59</f>
        <v>0</v>
      </c>
      <c r="K59" s="71">
        <f>0+'[1]táj.2'!K59</f>
        <v>1500</v>
      </c>
      <c r="L59" s="71">
        <f>0+'[1]táj.2'!L59</f>
        <v>0</v>
      </c>
      <c r="M59" s="71">
        <f>0+'[1]táj.2'!M59</f>
        <v>0</v>
      </c>
      <c r="N59" s="71">
        <f>0+'[1]táj.2'!N59</f>
        <v>0</v>
      </c>
      <c r="O59" s="71">
        <f>0+'[1]táj.2'!O59</f>
        <v>0</v>
      </c>
      <c r="P59" s="71">
        <f>0+'[1]táj.2'!P59</f>
        <v>0</v>
      </c>
      <c r="Q59" s="11">
        <f t="shared" si="3"/>
        <v>1650</v>
      </c>
    </row>
    <row r="60" spans="1:17" ht="15" customHeight="1">
      <c r="A60" s="70"/>
      <c r="B60" s="70"/>
      <c r="C60" s="127"/>
      <c r="D60" s="10" t="s">
        <v>1064</v>
      </c>
      <c r="E60" s="10">
        <v>2</v>
      </c>
      <c r="F60" s="11">
        <v>131206</v>
      </c>
      <c r="G60" s="71">
        <f>0+'[1]táj.2'!G60</f>
        <v>0</v>
      </c>
      <c r="H60" s="71">
        <f>0+'[1]táj.2'!H60</f>
        <v>0</v>
      </c>
      <c r="I60" s="71">
        <f>0+'[1]táj.2'!I60</f>
        <v>0</v>
      </c>
      <c r="J60" s="71">
        <f>0+'[1]táj.2'!J60</f>
        <v>0</v>
      </c>
      <c r="K60" s="71">
        <f>800+'[1]táj.2'!K60</f>
        <v>800</v>
      </c>
      <c r="L60" s="71">
        <f>0+'[1]táj.2'!L60</f>
        <v>0</v>
      </c>
      <c r="M60" s="71">
        <f>0+'[1]táj.2'!M60</f>
        <v>0</v>
      </c>
      <c r="N60" s="71">
        <f>0+'[1]táj.2'!N60</f>
        <v>0</v>
      </c>
      <c r="O60" s="71">
        <f>0+'[1]táj.2'!O60</f>
        <v>0</v>
      </c>
      <c r="P60" s="71">
        <f>0+'[1]táj.2'!P60</f>
        <v>0</v>
      </c>
      <c r="Q60" s="11">
        <f t="shared" si="3"/>
        <v>800</v>
      </c>
    </row>
    <row r="61" spans="1:17" ht="15" customHeight="1">
      <c r="A61" s="70"/>
      <c r="B61" s="70"/>
      <c r="C61" s="127"/>
      <c r="D61" s="72" t="s">
        <v>1261</v>
      </c>
      <c r="E61" s="10">
        <v>2</v>
      </c>
      <c r="F61" s="11">
        <v>131209</v>
      </c>
      <c r="G61" s="71">
        <f>150+'[1]táj.2'!G61</f>
        <v>150</v>
      </c>
      <c r="H61" s="71">
        <f>61+'[1]táj.2'!H61</f>
        <v>61</v>
      </c>
      <c r="I61" s="71">
        <f>589+'[1]táj.2'!I61</f>
        <v>589</v>
      </c>
      <c r="J61" s="71">
        <f>0+'[1]táj.2'!J61</f>
        <v>0</v>
      </c>
      <c r="K61" s="71">
        <f>0+'[1]táj.2'!K61</f>
        <v>0</v>
      </c>
      <c r="L61" s="71">
        <f>0+'[1]táj.2'!L61</f>
        <v>0</v>
      </c>
      <c r="M61" s="71">
        <f>0+'[1]táj.2'!M61</f>
        <v>0</v>
      </c>
      <c r="N61" s="71">
        <f>0+'[1]táj.2'!N61</f>
        <v>0</v>
      </c>
      <c r="O61" s="71">
        <f>0+'[1]táj.2'!O61</f>
        <v>0</v>
      </c>
      <c r="P61" s="71">
        <f>0+'[1]táj.2'!P61</f>
        <v>0</v>
      </c>
      <c r="Q61" s="11">
        <f t="shared" si="3"/>
        <v>800</v>
      </c>
    </row>
    <row r="62" spans="1:17" ht="15" customHeight="1">
      <c r="A62" s="70"/>
      <c r="B62" s="70"/>
      <c r="C62" s="127"/>
      <c r="D62" s="10" t="s">
        <v>345</v>
      </c>
      <c r="E62" s="10">
        <v>2</v>
      </c>
      <c r="F62" s="11">
        <v>131211</v>
      </c>
      <c r="G62" s="71">
        <f>0+'[1]táj.2'!G62</f>
        <v>0</v>
      </c>
      <c r="H62" s="71">
        <f>0+'[1]táj.2'!H62</f>
        <v>0</v>
      </c>
      <c r="I62" s="71">
        <f>965+'[1]táj.2'!I62</f>
        <v>965</v>
      </c>
      <c r="J62" s="71">
        <f>0+'[1]táj.2'!J62</f>
        <v>0</v>
      </c>
      <c r="K62" s="71">
        <f>0+'[1]táj.2'!K62</f>
        <v>0</v>
      </c>
      <c r="L62" s="71">
        <f>0+'[1]táj.2'!L62</f>
        <v>0</v>
      </c>
      <c r="M62" s="71">
        <f>0+'[1]táj.2'!M62</f>
        <v>0</v>
      </c>
      <c r="N62" s="71">
        <f>0+'[1]táj.2'!N62</f>
        <v>0</v>
      </c>
      <c r="O62" s="71">
        <f>0+'[1]táj.2'!O62</f>
        <v>0</v>
      </c>
      <c r="P62" s="71">
        <f>0+'[1]táj.2'!P62</f>
        <v>0</v>
      </c>
      <c r="Q62" s="11">
        <f t="shared" si="3"/>
        <v>965</v>
      </c>
    </row>
    <row r="63" spans="1:17" ht="13.5" customHeight="1">
      <c r="A63" s="70"/>
      <c r="B63" s="70"/>
      <c r="C63" s="127"/>
      <c r="D63" s="10" t="s">
        <v>806</v>
      </c>
      <c r="E63" s="10"/>
      <c r="F63" s="1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11"/>
    </row>
    <row r="64" spans="1:17" ht="13.5" customHeight="1">
      <c r="A64" s="70"/>
      <c r="B64" s="70"/>
      <c r="C64" s="127"/>
      <c r="D64" s="72" t="s">
        <v>308</v>
      </c>
      <c r="E64" s="10">
        <v>2</v>
      </c>
      <c r="F64" s="11">
        <v>131101</v>
      </c>
      <c r="G64" s="71">
        <f>0+'[1]táj.2'!G64</f>
        <v>0</v>
      </c>
      <c r="H64" s="71">
        <f>0+'[1]táj.2'!H64</f>
        <v>0</v>
      </c>
      <c r="I64" s="71">
        <f>0+'[1]táj.2'!I64</f>
        <v>0</v>
      </c>
      <c r="J64" s="71">
        <f>5000+'[1]táj.2'!J64</f>
        <v>5000</v>
      </c>
      <c r="K64" s="71">
        <f>7325+'[1]táj.2'!K64</f>
        <v>7325</v>
      </c>
      <c r="L64" s="71">
        <f>0+'[1]táj.2'!L64</f>
        <v>0</v>
      </c>
      <c r="M64" s="71">
        <f>0+'[1]táj.2'!M64</f>
        <v>0</v>
      </c>
      <c r="N64" s="71">
        <f>0+'[1]táj.2'!N64</f>
        <v>0</v>
      </c>
      <c r="O64" s="71">
        <f>0+'[1]táj.2'!O64</f>
        <v>0</v>
      </c>
      <c r="P64" s="71">
        <f>0+'[1]táj.2'!P64</f>
        <v>0</v>
      </c>
      <c r="Q64" s="11">
        <f>SUM(G64:P64)</f>
        <v>12325</v>
      </c>
    </row>
    <row r="65" spans="1:17" ht="13.5" customHeight="1">
      <c r="A65" s="70"/>
      <c r="B65" s="70"/>
      <c r="C65" s="127"/>
      <c r="D65" s="72" t="s">
        <v>808</v>
      </c>
      <c r="E65" s="10"/>
      <c r="F65" s="1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11"/>
    </row>
    <row r="66" spans="1:17" ht="13.5" customHeight="1">
      <c r="A66" s="70"/>
      <c r="B66" s="70"/>
      <c r="C66" s="127"/>
      <c r="D66" s="10" t="s">
        <v>1262</v>
      </c>
      <c r="E66" s="10">
        <v>2</v>
      </c>
      <c r="F66" s="11">
        <v>131120</v>
      </c>
      <c r="G66" s="71">
        <f>0+'[1]táj.2'!G66</f>
        <v>0</v>
      </c>
      <c r="H66" s="71">
        <f>0+'[1]táj.2'!H66</f>
        <v>0</v>
      </c>
      <c r="I66" s="71">
        <f>178+'[1]táj.2'!I66</f>
        <v>178</v>
      </c>
      <c r="J66" s="71">
        <f>0+'[1]táj.2'!J66</f>
        <v>0</v>
      </c>
      <c r="K66" s="71">
        <f>0+'[1]táj.2'!K66</f>
        <v>0</v>
      </c>
      <c r="L66" s="71">
        <f>0+'[1]táj.2'!L66</f>
        <v>0</v>
      </c>
      <c r="M66" s="71">
        <f>0+'[1]táj.2'!M66</f>
        <v>0</v>
      </c>
      <c r="N66" s="71">
        <f>0+'[1]táj.2'!N66</f>
        <v>0</v>
      </c>
      <c r="O66" s="71">
        <f>0+'[1]táj.2'!O66</f>
        <v>0</v>
      </c>
      <c r="P66" s="71">
        <f>0+'[1]táj.2'!P66</f>
        <v>0</v>
      </c>
      <c r="Q66" s="11">
        <f>SUM(G66:P66)</f>
        <v>178</v>
      </c>
    </row>
    <row r="67" spans="1:17" ht="13.5" customHeight="1">
      <c r="A67" s="70"/>
      <c r="B67" s="70"/>
      <c r="C67" s="127"/>
      <c r="D67" s="10" t="s">
        <v>809</v>
      </c>
      <c r="E67" s="389"/>
      <c r="F67" s="142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11"/>
    </row>
    <row r="68" spans="1:17" ht="13.5" customHeight="1">
      <c r="A68" s="70"/>
      <c r="B68" s="70"/>
      <c r="C68" s="127"/>
      <c r="D68" s="10" t="s">
        <v>245</v>
      </c>
      <c r="E68" s="10">
        <v>2</v>
      </c>
      <c r="F68" s="11">
        <v>131346</v>
      </c>
      <c r="G68" s="71">
        <f>0+'[1]táj.2'!G68</f>
        <v>100</v>
      </c>
      <c r="H68" s="71">
        <f>0+'[1]táj.2'!H68</f>
        <v>63</v>
      </c>
      <c r="I68" s="71">
        <f>0+'[1]táj.2'!I68</f>
        <v>737</v>
      </c>
      <c r="J68" s="71">
        <f>0+'[1]táj.2'!J68</f>
        <v>0</v>
      </c>
      <c r="K68" s="71">
        <f>900+'[1]táj.2'!K68</f>
        <v>0</v>
      </c>
      <c r="L68" s="71">
        <f>0+'[1]táj.2'!L68</f>
        <v>0</v>
      </c>
      <c r="M68" s="71">
        <f>0+'[1]táj.2'!M68</f>
        <v>0</v>
      </c>
      <c r="N68" s="71">
        <f>0+'[1]táj.2'!N68</f>
        <v>0</v>
      </c>
      <c r="O68" s="71">
        <f>0+'[1]táj.2'!O68</f>
        <v>0</v>
      </c>
      <c r="P68" s="71">
        <f>0+'[1]táj.2'!P68</f>
        <v>0</v>
      </c>
      <c r="Q68" s="11">
        <f aca="true" t="shared" si="4" ref="Q68:Q85">SUM(G68:P68)</f>
        <v>900</v>
      </c>
    </row>
    <row r="69" spans="1:17" ht="13.5" customHeight="1">
      <c r="A69" s="70"/>
      <c r="B69" s="70"/>
      <c r="C69" s="127"/>
      <c r="D69" s="10" t="s">
        <v>604</v>
      </c>
      <c r="E69" s="10">
        <v>2</v>
      </c>
      <c r="F69" s="11">
        <v>131305</v>
      </c>
      <c r="G69" s="71">
        <f>0+'[1]táj.2'!G69</f>
        <v>0</v>
      </c>
      <c r="H69" s="71">
        <f>0+'[1]táj.2'!H69</f>
        <v>0</v>
      </c>
      <c r="I69" s="71">
        <f>0+'[1]táj.2'!I69</f>
        <v>0</v>
      </c>
      <c r="J69" s="71">
        <f>0+'[1]táj.2'!J69</f>
        <v>0</v>
      </c>
      <c r="K69" s="71">
        <f>800+'[1]táj.2'!K69</f>
        <v>800</v>
      </c>
      <c r="L69" s="71">
        <f>0+'[1]táj.2'!L69</f>
        <v>0</v>
      </c>
      <c r="M69" s="71">
        <f>0+'[1]táj.2'!M69</f>
        <v>0</v>
      </c>
      <c r="N69" s="71">
        <f>0+'[1]táj.2'!N69</f>
        <v>0</v>
      </c>
      <c r="O69" s="71">
        <f>0+'[1]táj.2'!O69</f>
        <v>0</v>
      </c>
      <c r="P69" s="71">
        <f>0+'[1]táj.2'!P69</f>
        <v>0</v>
      </c>
      <c r="Q69" s="11">
        <f t="shared" si="4"/>
        <v>800</v>
      </c>
    </row>
    <row r="70" spans="1:17" ht="13.5" customHeight="1">
      <c r="A70" s="70"/>
      <c r="B70" s="70"/>
      <c r="C70" s="127"/>
      <c r="D70" s="10" t="s">
        <v>1451</v>
      </c>
      <c r="E70" s="10">
        <v>2</v>
      </c>
      <c r="F70" s="11">
        <v>131306</v>
      </c>
      <c r="G70" s="71">
        <f>0+'[1]táj.2'!G70</f>
        <v>0</v>
      </c>
      <c r="H70" s="71">
        <f>0+'[1]táj.2'!H70</f>
        <v>0</v>
      </c>
      <c r="I70" s="71">
        <f>0+'[1]táj.2'!I70</f>
        <v>0</v>
      </c>
      <c r="J70" s="71">
        <f>0+'[1]táj.2'!J70</f>
        <v>0</v>
      </c>
      <c r="K70" s="71">
        <f>500+'[1]táj.2'!K70</f>
        <v>500</v>
      </c>
      <c r="L70" s="71">
        <f>0+'[1]táj.2'!L70</f>
        <v>0</v>
      </c>
      <c r="M70" s="71">
        <f>0+'[1]táj.2'!M70</f>
        <v>0</v>
      </c>
      <c r="N70" s="71">
        <f>0+'[1]táj.2'!N70</f>
        <v>0</v>
      </c>
      <c r="O70" s="71">
        <f>0+'[1]táj.2'!O70</f>
        <v>0</v>
      </c>
      <c r="P70" s="71">
        <f>0+'[1]táj.2'!P70</f>
        <v>0</v>
      </c>
      <c r="Q70" s="11">
        <f t="shared" si="4"/>
        <v>500</v>
      </c>
    </row>
    <row r="71" spans="1:17" ht="13.5" customHeight="1">
      <c r="A71" s="70"/>
      <c r="B71" s="70"/>
      <c r="C71" s="127"/>
      <c r="D71" s="122" t="s">
        <v>397</v>
      </c>
      <c r="E71" s="10">
        <v>2</v>
      </c>
      <c r="F71" s="11">
        <v>131325</v>
      </c>
      <c r="G71" s="71">
        <f>0+'[1]táj.2'!G71</f>
        <v>0</v>
      </c>
      <c r="H71" s="71">
        <f>0+'[1]táj.2'!H71</f>
        <v>0</v>
      </c>
      <c r="I71" s="71">
        <f>1228+'[1]táj.2'!I71</f>
        <v>1228</v>
      </c>
      <c r="J71" s="71">
        <f>0+'[1]táj.2'!J71</f>
        <v>0</v>
      </c>
      <c r="K71" s="71">
        <f>0+'[1]táj.2'!K71</f>
        <v>0</v>
      </c>
      <c r="L71" s="71">
        <f>0+'[1]táj.2'!L71</f>
        <v>0</v>
      </c>
      <c r="M71" s="71">
        <f>0+'[1]táj.2'!M71</f>
        <v>0</v>
      </c>
      <c r="N71" s="71">
        <f>0+'[1]táj.2'!N71</f>
        <v>0</v>
      </c>
      <c r="O71" s="71">
        <f>0+'[1]táj.2'!O71</f>
        <v>0</v>
      </c>
      <c r="P71" s="71">
        <f>0+'[1]táj.2'!P71</f>
        <v>0</v>
      </c>
      <c r="Q71" s="11">
        <f t="shared" si="4"/>
        <v>1228</v>
      </c>
    </row>
    <row r="72" spans="1:17" ht="24" customHeight="1">
      <c r="A72" s="70"/>
      <c r="B72" s="70"/>
      <c r="C72" s="127"/>
      <c r="D72" s="122" t="s">
        <v>1266</v>
      </c>
      <c r="E72" s="10">
        <v>2</v>
      </c>
      <c r="F72" s="11">
        <v>131308</v>
      </c>
      <c r="G72" s="71">
        <f>0+'[1]táj.2'!G72</f>
        <v>0</v>
      </c>
      <c r="H72" s="71">
        <f>0+'[1]táj.2'!H72</f>
        <v>0</v>
      </c>
      <c r="I72" s="71">
        <f>0+'[1]táj.2'!I72</f>
        <v>0</v>
      </c>
      <c r="J72" s="71">
        <f>0+'[1]táj.2'!J72</f>
        <v>0</v>
      </c>
      <c r="K72" s="71">
        <f>5000+'[1]táj.2'!K72</f>
        <v>5000</v>
      </c>
      <c r="L72" s="71">
        <f>0+'[1]táj.2'!L72</f>
        <v>0</v>
      </c>
      <c r="M72" s="71">
        <f>0+'[1]táj.2'!M72</f>
        <v>0</v>
      </c>
      <c r="N72" s="71">
        <f>0+'[1]táj.2'!N72</f>
        <v>0</v>
      </c>
      <c r="O72" s="71">
        <f>0+'[1]táj.2'!O72</f>
        <v>0</v>
      </c>
      <c r="P72" s="71">
        <f>0+'[1]táj.2'!P72</f>
        <v>0</v>
      </c>
      <c r="Q72" s="11">
        <f t="shared" si="4"/>
        <v>5000</v>
      </c>
    </row>
    <row r="73" spans="1:17" ht="13.5" customHeight="1">
      <c r="A73" s="70"/>
      <c r="B73" s="70"/>
      <c r="C73" s="127"/>
      <c r="D73" s="122" t="s">
        <v>337</v>
      </c>
      <c r="E73" s="10">
        <v>2</v>
      </c>
      <c r="F73" s="11">
        <v>131321</v>
      </c>
      <c r="G73" s="71">
        <f>0+'[1]táj.2'!G73</f>
        <v>0</v>
      </c>
      <c r="H73" s="71">
        <f>0+'[1]táj.2'!H73</f>
        <v>0</v>
      </c>
      <c r="I73" s="71">
        <f>0+'[1]táj.2'!I73</f>
        <v>0</v>
      </c>
      <c r="J73" s="71">
        <f>0+'[1]táj.2'!J73</f>
        <v>0</v>
      </c>
      <c r="K73" s="71">
        <f>70000+'[1]táj.2'!K73</f>
        <v>70000</v>
      </c>
      <c r="L73" s="71">
        <f>0+'[1]táj.2'!L73</f>
        <v>0</v>
      </c>
      <c r="M73" s="71">
        <f>0+'[1]táj.2'!M73</f>
        <v>0</v>
      </c>
      <c r="N73" s="71">
        <f>0+'[1]táj.2'!N73</f>
        <v>0</v>
      </c>
      <c r="O73" s="71">
        <f>0+'[1]táj.2'!O73</f>
        <v>0</v>
      </c>
      <c r="P73" s="71">
        <f>0+'[1]táj.2'!P73</f>
        <v>0</v>
      </c>
      <c r="Q73" s="11">
        <f t="shared" si="4"/>
        <v>70000</v>
      </c>
    </row>
    <row r="74" spans="1:17" ht="13.5" customHeight="1">
      <c r="A74" s="70"/>
      <c r="B74" s="70"/>
      <c r="C74" s="127"/>
      <c r="D74" s="471" t="s">
        <v>1263</v>
      </c>
      <c r="E74" s="10">
        <v>2</v>
      </c>
      <c r="F74" s="11">
        <v>131501</v>
      </c>
      <c r="G74" s="71">
        <f>0+'[1]táj.2'!G74</f>
        <v>0</v>
      </c>
      <c r="H74" s="71">
        <f>0+'[1]táj.2'!H74</f>
        <v>0</v>
      </c>
      <c r="I74" s="71">
        <f>250+'[1]táj.2'!I74</f>
        <v>250</v>
      </c>
      <c r="J74" s="71">
        <f>0+'[1]táj.2'!J74</f>
        <v>0</v>
      </c>
      <c r="K74" s="71">
        <f>0+'[1]táj.2'!K74</f>
        <v>0</v>
      </c>
      <c r="L74" s="71">
        <f>0+'[1]táj.2'!L74</f>
        <v>0</v>
      </c>
      <c r="M74" s="71">
        <f>0+'[1]táj.2'!M74</f>
        <v>0</v>
      </c>
      <c r="N74" s="71">
        <f>0+'[1]táj.2'!N74</f>
        <v>0</v>
      </c>
      <c r="O74" s="71">
        <f>0+'[1]táj.2'!O74</f>
        <v>0</v>
      </c>
      <c r="P74" s="71">
        <f>0+'[1]táj.2'!P74</f>
        <v>0</v>
      </c>
      <c r="Q74" s="11">
        <f t="shared" si="4"/>
        <v>250</v>
      </c>
    </row>
    <row r="75" spans="1:17" ht="13.5" customHeight="1">
      <c r="A75" s="70"/>
      <c r="B75" s="70"/>
      <c r="C75" s="127"/>
      <c r="D75" s="471" t="s">
        <v>835</v>
      </c>
      <c r="E75" s="10">
        <v>2</v>
      </c>
      <c r="F75" s="11">
        <v>131307</v>
      </c>
      <c r="G75" s="71">
        <f>0+'[1]táj.2'!G75</f>
        <v>0</v>
      </c>
      <c r="H75" s="71">
        <f>0+'[1]táj.2'!H75</f>
        <v>0</v>
      </c>
      <c r="I75" s="71">
        <f>0+'[1]táj.2'!I75</f>
        <v>0</v>
      </c>
      <c r="J75" s="71">
        <f>0+'[1]táj.2'!J75</f>
        <v>0</v>
      </c>
      <c r="K75" s="71">
        <f>500+'[1]táj.2'!K75</f>
        <v>500</v>
      </c>
      <c r="L75" s="71">
        <f>0+'[1]táj.2'!L75</f>
        <v>0</v>
      </c>
      <c r="M75" s="71">
        <f>0+'[1]táj.2'!M75</f>
        <v>0</v>
      </c>
      <c r="N75" s="71">
        <f>0+'[1]táj.2'!N75</f>
        <v>0</v>
      </c>
      <c r="O75" s="71">
        <f>0+'[1]táj.2'!O75</f>
        <v>0</v>
      </c>
      <c r="P75" s="71">
        <f>0+'[1]táj.2'!P75</f>
        <v>0</v>
      </c>
      <c r="Q75" s="11">
        <f t="shared" si="4"/>
        <v>500</v>
      </c>
    </row>
    <row r="76" spans="1:17" ht="13.5" customHeight="1">
      <c r="A76" s="70"/>
      <c r="B76" s="70"/>
      <c r="C76" s="127"/>
      <c r="D76" s="471" t="s">
        <v>4</v>
      </c>
      <c r="E76" s="10"/>
      <c r="F76" s="11">
        <v>131326</v>
      </c>
      <c r="G76" s="71">
        <f>0+'[1]táj.2'!G76</f>
        <v>0</v>
      </c>
      <c r="H76" s="71">
        <f>0+'[1]táj.2'!H76</f>
        <v>0</v>
      </c>
      <c r="I76" s="71">
        <f>0+'[1]táj.2'!I76</f>
        <v>0</v>
      </c>
      <c r="J76" s="71">
        <f>0+'[1]táj.2'!J76</f>
        <v>0</v>
      </c>
      <c r="K76" s="71">
        <f>2000+'[1]táj.2'!K76</f>
        <v>2000</v>
      </c>
      <c r="L76" s="71">
        <f>0+'[1]táj.2'!L76</f>
        <v>0</v>
      </c>
      <c r="M76" s="71">
        <f>0+'[1]táj.2'!M76</f>
        <v>0</v>
      </c>
      <c r="N76" s="71">
        <f>0+'[1]táj.2'!N76</f>
        <v>0</v>
      </c>
      <c r="O76" s="71">
        <f>0+'[1]táj.2'!O76</f>
        <v>0</v>
      </c>
      <c r="P76" s="71">
        <f>0+'[1]táj.2'!P76</f>
        <v>0</v>
      </c>
      <c r="Q76" s="11">
        <f t="shared" si="4"/>
        <v>2000</v>
      </c>
    </row>
    <row r="77" spans="1:17" ht="13.5" customHeight="1">
      <c r="A77" s="70"/>
      <c r="B77" s="70"/>
      <c r="C77" s="127"/>
      <c r="D77" s="471" t="s">
        <v>5</v>
      </c>
      <c r="E77" s="10"/>
      <c r="F77" s="11">
        <v>131331</v>
      </c>
      <c r="G77" s="71">
        <f>0+'[1]táj.2'!G77</f>
        <v>0</v>
      </c>
      <c r="H77" s="71">
        <f>0+'[1]táj.2'!H77</f>
        <v>0</v>
      </c>
      <c r="I77" s="71">
        <f>0+'[1]táj.2'!I77</f>
        <v>0</v>
      </c>
      <c r="J77" s="71">
        <f>0+'[1]táj.2'!J77</f>
        <v>0</v>
      </c>
      <c r="K77" s="71">
        <f>1500+'[1]táj.2'!K77</f>
        <v>1500</v>
      </c>
      <c r="L77" s="71">
        <f>0+'[1]táj.2'!L77</f>
        <v>0</v>
      </c>
      <c r="M77" s="71">
        <f>0+'[1]táj.2'!M77</f>
        <v>0</v>
      </c>
      <c r="N77" s="71">
        <f>0+'[1]táj.2'!N77</f>
        <v>0</v>
      </c>
      <c r="O77" s="71">
        <f>0+'[1]táj.2'!O77</f>
        <v>0</v>
      </c>
      <c r="P77" s="71">
        <f>0+'[1]táj.2'!P77</f>
        <v>0</v>
      </c>
      <c r="Q77" s="11">
        <f t="shared" si="4"/>
        <v>1500</v>
      </c>
    </row>
    <row r="78" spans="1:17" ht="13.5" customHeight="1">
      <c r="A78" s="70"/>
      <c r="B78" s="70"/>
      <c r="C78" s="127"/>
      <c r="D78" s="471" t="s">
        <v>6</v>
      </c>
      <c r="E78" s="10"/>
      <c r="F78" s="11">
        <v>131314</v>
      </c>
      <c r="G78" s="71">
        <f>0+'[1]táj.2'!G78</f>
        <v>0</v>
      </c>
      <c r="H78" s="71">
        <f>0+'[1]táj.2'!H78</f>
        <v>0</v>
      </c>
      <c r="I78" s="71">
        <f>0+'[1]táj.2'!I78</f>
        <v>0</v>
      </c>
      <c r="J78" s="71">
        <f>0+'[1]táj.2'!J78</f>
        <v>0</v>
      </c>
      <c r="K78" s="71">
        <f>1500+'[1]táj.2'!K78</f>
        <v>1500</v>
      </c>
      <c r="L78" s="71">
        <f>0+'[1]táj.2'!L78</f>
        <v>0</v>
      </c>
      <c r="M78" s="71">
        <f>0+'[1]táj.2'!M78</f>
        <v>0</v>
      </c>
      <c r="N78" s="71">
        <f>0+'[1]táj.2'!N78</f>
        <v>0</v>
      </c>
      <c r="O78" s="71">
        <f>0+'[1]táj.2'!O78</f>
        <v>0</v>
      </c>
      <c r="P78" s="71">
        <f>0+'[1]táj.2'!P78</f>
        <v>0</v>
      </c>
      <c r="Q78" s="11">
        <f t="shared" si="4"/>
        <v>1500</v>
      </c>
    </row>
    <row r="79" spans="1:17" ht="15" customHeight="1">
      <c r="A79" s="70"/>
      <c r="B79" s="70"/>
      <c r="C79" s="127"/>
      <c r="D79" s="675" t="s">
        <v>1071</v>
      </c>
      <c r="E79" s="10">
        <v>2</v>
      </c>
      <c r="F79" s="11">
        <v>131340</v>
      </c>
      <c r="G79" s="71">
        <f>0+'[1]táj.2'!G79</f>
        <v>0</v>
      </c>
      <c r="H79" s="71">
        <f>0+'[1]táj.2'!H79</f>
        <v>0</v>
      </c>
      <c r="I79" s="71">
        <f>0+'[1]táj.2'!I79</f>
        <v>0</v>
      </c>
      <c r="J79" s="71">
        <f>0+'[1]táj.2'!J79</f>
        <v>0</v>
      </c>
      <c r="K79" s="71">
        <f>400+'[1]táj.2'!K79</f>
        <v>400</v>
      </c>
      <c r="L79" s="71">
        <f>0+'[1]táj.2'!L79</f>
        <v>0</v>
      </c>
      <c r="M79" s="71">
        <f>0+'[1]táj.2'!M79</f>
        <v>0</v>
      </c>
      <c r="N79" s="71">
        <f>0+'[1]táj.2'!N79</f>
        <v>0</v>
      </c>
      <c r="O79" s="71">
        <f>0+'[1]táj.2'!O79</f>
        <v>0</v>
      </c>
      <c r="P79" s="71">
        <f>0+'[1]táj.2'!P79</f>
        <v>0</v>
      </c>
      <c r="Q79" s="11">
        <f t="shared" si="4"/>
        <v>400</v>
      </c>
    </row>
    <row r="80" spans="1:17" ht="15" customHeight="1">
      <c r="A80" s="70"/>
      <c r="B80" s="70"/>
      <c r="C80" s="127"/>
      <c r="D80" s="675" t="s">
        <v>536</v>
      </c>
      <c r="E80" s="10">
        <v>2</v>
      </c>
      <c r="F80" s="11">
        <v>131343</v>
      </c>
      <c r="G80" s="71">
        <f>0+'[1]táj.2'!G80</f>
        <v>0</v>
      </c>
      <c r="H80" s="71">
        <f>0+'[1]táj.2'!H80</f>
        <v>0</v>
      </c>
      <c r="I80" s="71">
        <f>0+'[1]táj.2'!I80</f>
        <v>0</v>
      </c>
      <c r="J80" s="71">
        <f>0+'[1]táj.2'!J80</f>
        <v>0</v>
      </c>
      <c r="K80" s="71">
        <f>400+'[1]táj.2'!K80</f>
        <v>400</v>
      </c>
      <c r="L80" s="71">
        <f>0+'[1]táj.2'!L80</f>
        <v>0</v>
      </c>
      <c r="M80" s="71">
        <f>0+'[1]táj.2'!M80</f>
        <v>0</v>
      </c>
      <c r="N80" s="71">
        <f>0+'[1]táj.2'!N80</f>
        <v>0</v>
      </c>
      <c r="O80" s="71">
        <f>0+'[1]táj.2'!O80</f>
        <v>0</v>
      </c>
      <c r="P80" s="71">
        <f>0+'[1]táj.2'!P80</f>
        <v>0</v>
      </c>
      <c r="Q80" s="11">
        <f t="shared" si="4"/>
        <v>400</v>
      </c>
    </row>
    <row r="81" spans="1:17" ht="15" customHeight="1">
      <c r="A81" s="70"/>
      <c r="B81" s="70"/>
      <c r="C81" s="127"/>
      <c r="D81" s="675" t="s">
        <v>1072</v>
      </c>
      <c r="E81" s="10">
        <v>2</v>
      </c>
      <c r="F81" s="11">
        <v>131344</v>
      </c>
      <c r="G81" s="71">
        <f>0+'[1]táj.2'!G81</f>
        <v>0</v>
      </c>
      <c r="H81" s="71">
        <f>0+'[1]táj.2'!H81</f>
        <v>0</v>
      </c>
      <c r="I81" s="71">
        <f>0+'[1]táj.2'!I81</f>
        <v>0</v>
      </c>
      <c r="J81" s="71">
        <f>0+'[1]táj.2'!J81</f>
        <v>0</v>
      </c>
      <c r="K81" s="71">
        <f>500+'[1]táj.2'!K81</f>
        <v>500</v>
      </c>
      <c r="L81" s="71">
        <f>0+'[1]táj.2'!L81</f>
        <v>0</v>
      </c>
      <c r="M81" s="71">
        <f>0+'[1]táj.2'!M81</f>
        <v>0</v>
      </c>
      <c r="N81" s="71">
        <f>0+'[1]táj.2'!N81</f>
        <v>0</v>
      </c>
      <c r="O81" s="71">
        <f>0+'[1]táj.2'!O81</f>
        <v>0</v>
      </c>
      <c r="P81" s="71">
        <f>0+'[1]táj.2'!P81</f>
        <v>0</v>
      </c>
      <c r="Q81" s="11">
        <f t="shared" si="4"/>
        <v>500</v>
      </c>
    </row>
    <row r="82" spans="1:17" ht="15" customHeight="1">
      <c r="A82" s="70"/>
      <c r="B82" s="70"/>
      <c r="C82" s="127"/>
      <c r="D82" s="675" t="s">
        <v>635</v>
      </c>
      <c r="E82" s="10">
        <v>2</v>
      </c>
      <c r="F82" s="11">
        <v>131348</v>
      </c>
      <c r="G82" s="71">
        <f>0+'[1]táj.2'!G82</f>
        <v>0</v>
      </c>
      <c r="H82" s="71">
        <f>0+'[1]táj.2'!H82</f>
        <v>0</v>
      </c>
      <c r="I82" s="71">
        <f>0+'[1]táj.2'!I82</f>
        <v>0</v>
      </c>
      <c r="J82" s="71">
        <f>0+'[1]táj.2'!J82</f>
        <v>0</v>
      </c>
      <c r="K82" s="71">
        <f>5000+'[1]táj.2'!K82</f>
        <v>5000</v>
      </c>
      <c r="L82" s="71">
        <f>0+'[1]táj.2'!L82</f>
        <v>0</v>
      </c>
      <c r="M82" s="71">
        <f>0+'[1]táj.2'!M82</f>
        <v>0</v>
      </c>
      <c r="N82" s="71">
        <f>0+'[1]táj.2'!N82</f>
        <v>0</v>
      </c>
      <c r="O82" s="71">
        <f>0+'[1]táj.2'!O82</f>
        <v>0</v>
      </c>
      <c r="P82" s="71">
        <f>0+'[1]táj.2'!P82</f>
        <v>0</v>
      </c>
      <c r="Q82" s="11">
        <f t="shared" si="4"/>
        <v>5000</v>
      </c>
    </row>
    <row r="83" spans="1:17" ht="23.25" customHeight="1">
      <c r="A83" s="70"/>
      <c r="B83" s="70"/>
      <c r="C83" s="127"/>
      <c r="D83" s="676" t="s">
        <v>1027</v>
      </c>
      <c r="E83" s="10">
        <v>2</v>
      </c>
      <c r="F83" s="11">
        <v>131345</v>
      </c>
      <c r="G83" s="71">
        <f>0+'[1]táj.2'!G83</f>
        <v>0</v>
      </c>
      <c r="H83" s="71">
        <f>0+'[1]táj.2'!H83</f>
        <v>0</v>
      </c>
      <c r="I83" s="71">
        <f>0+'[1]táj.2'!I83</f>
        <v>0</v>
      </c>
      <c r="J83" s="71">
        <f>0+'[1]táj.2'!J83</f>
        <v>0</v>
      </c>
      <c r="K83" s="71">
        <f>400+'[1]táj.2'!K83</f>
        <v>400</v>
      </c>
      <c r="L83" s="71">
        <f>0+'[1]táj.2'!L83</f>
        <v>0</v>
      </c>
      <c r="M83" s="71">
        <f>0+'[1]táj.2'!M83</f>
        <v>0</v>
      </c>
      <c r="N83" s="71">
        <f>0+'[1]táj.2'!N83</f>
        <v>0</v>
      </c>
      <c r="O83" s="71">
        <f>0+'[1]táj.2'!O83</f>
        <v>0</v>
      </c>
      <c r="P83" s="71">
        <f>0+'[1]táj.2'!P83</f>
        <v>0</v>
      </c>
      <c r="Q83" s="11">
        <f t="shared" si="4"/>
        <v>400</v>
      </c>
    </row>
    <row r="84" spans="1:17" ht="17.25" customHeight="1">
      <c r="A84" s="70"/>
      <c r="B84" s="70"/>
      <c r="C84" s="127"/>
      <c r="D84" s="677" t="s">
        <v>1097</v>
      </c>
      <c r="E84" s="384">
        <v>2</v>
      </c>
      <c r="F84" s="11">
        <v>131334</v>
      </c>
      <c r="G84" s="71">
        <f>0+'[1]táj.2'!G84</f>
        <v>0</v>
      </c>
      <c r="H84" s="71">
        <f>0+'[1]táj.2'!H84</f>
        <v>0</v>
      </c>
      <c r="I84" s="71">
        <f>0+'[1]táj.2'!I84</f>
        <v>0</v>
      </c>
      <c r="J84" s="71">
        <f>0+'[1]táj.2'!J84</f>
        <v>0</v>
      </c>
      <c r="K84" s="71">
        <f>500+'[1]táj.2'!K84</f>
        <v>500</v>
      </c>
      <c r="L84" s="71">
        <f>0+'[1]táj.2'!L84</f>
        <v>0</v>
      </c>
      <c r="M84" s="71">
        <f>0+'[1]táj.2'!M84</f>
        <v>0</v>
      </c>
      <c r="N84" s="71">
        <f>0+'[1]táj.2'!N84</f>
        <v>0</v>
      </c>
      <c r="O84" s="71">
        <f>0+'[1]táj.2'!O84</f>
        <v>0</v>
      </c>
      <c r="P84" s="71">
        <f>0+'[1]táj.2'!P84</f>
        <v>0</v>
      </c>
      <c r="Q84" s="11">
        <f t="shared" si="4"/>
        <v>500</v>
      </c>
    </row>
    <row r="85" spans="1:17" ht="17.25" customHeight="1">
      <c r="A85" s="70"/>
      <c r="B85" s="70"/>
      <c r="C85" s="127"/>
      <c r="D85" s="629" t="s">
        <v>1285</v>
      </c>
      <c r="E85" s="384">
        <v>2</v>
      </c>
      <c r="F85" s="11">
        <v>131327</v>
      </c>
      <c r="G85" s="71">
        <f>0+'[1]táj.2'!G85</f>
        <v>0</v>
      </c>
      <c r="H85" s="71">
        <f>0+'[1]táj.2'!H85</f>
        <v>0</v>
      </c>
      <c r="I85" s="71">
        <f>0+'[1]táj.2'!I85</f>
        <v>0</v>
      </c>
      <c r="J85" s="71">
        <f>0+'[1]táj.2'!J85</f>
        <v>0</v>
      </c>
      <c r="K85" s="71">
        <f>1500+'[1]táj.2'!K85</f>
        <v>1500</v>
      </c>
      <c r="L85" s="71">
        <f>0+'[1]táj.2'!L85</f>
        <v>0</v>
      </c>
      <c r="M85" s="71">
        <f>0+'[1]táj.2'!M85</f>
        <v>0</v>
      </c>
      <c r="N85" s="71">
        <f>0+'[1]táj.2'!N85</f>
        <v>0</v>
      </c>
      <c r="O85" s="71">
        <f>0+'[1]táj.2'!O85</f>
        <v>0</v>
      </c>
      <c r="P85" s="71">
        <f>0+'[1]táj.2'!P85</f>
        <v>0</v>
      </c>
      <c r="Q85" s="11">
        <f t="shared" si="4"/>
        <v>1500</v>
      </c>
    </row>
    <row r="86" spans="1:17" ht="13.5" customHeight="1">
      <c r="A86" s="70"/>
      <c r="B86" s="70"/>
      <c r="C86" s="127"/>
      <c r="D86" s="10" t="s">
        <v>238</v>
      </c>
      <c r="E86" s="387"/>
      <c r="F86" s="142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11"/>
    </row>
    <row r="87" spans="1:17" ht="24.75" customHeight="1">
      <c r="A87" s="70"/>
      <c r="B87" s="70"/>
      <c r="C87" s="127"/>
      <c r="D87" s="122" t="s">
        <v>569</v>
      </c>
      <c r="E87" s="389">
        <v>2</v>
      </c>
      <c r="F87" s="11">
        <v>131401</v>
      </c>
      <c r="G87" s="71">
        <f>0+'[1]táj.2'!G87</f>
        <v>0</v>
      </c>
      <c r="H87" s="71">
        <f>0+'[1]táj.2'!H87</f>
        <v>0</v>
      </c>
      <c r="I87" s="71">
        <f>0+'[1]táj.2'!I87</f>
        <v>0</v>
      </c>
      <c r="J87" s="71">
        <f>0+'[1]táj.2'!J87</f>
        <v>0</v>
      </c>
      <c r="K87" s="71">
        <f>1800+'[1]táj.2'!K87</f>
        <v>1800</v>
      </c>
      <c r="L87" s="71">
        <f>0+'[1]táj.2'!L87</f>
        <v>0</v>
      </c>
      <c r="M87" s="71">
        <f>0+'[1]táj.2'!M87</f>
        <v>0</v>
      </c>
      <c r="N87" s="71">
        <f>0+'[1]táj.2'!N87</f>
        <v>0</v>
      </c>
      <c r="O87" s="71">
        <f>0+'[1]táj.2'!O87</f>
        <v>0</v>
      </c>
      <c r="P87" s="71">
        <f>0+'[1]táj.2'!P87</f>
        <v>0</v>
      </c>
      <c r="Q87" s="11">
        <f aca="true" t="shared" si="5" ref="Q87:Q95">SUM(G87:P87)</f>
        <v>1800</v>
      </c>
    </row>
    <row r="88" spans="1:17" ht="13.5" customHeight="1">
      <c r="A88" s="70"/>
      <c r="B88" s="70"/>
      <c r="C88" s="678"/>
      <c r="D88" s="679" t="s">
        <v>570</v>
      </c>
      <c r="E88" s="389">
        <v>2</v>
      </c>
      <c r="F88" s="11">
        <v>131402</v>
      </c>
      <c r="G88" s="71">
        <f>0+'[1]táj.2'!G88</f>
        <v>0</v>
      </c>
      <c r="H88" s="71">
        <f>0+'[1]táj.2'!H88</f>
        <v>0</v>
      </c>
      <c r="I88" s="71">
        <f>0+'[1]táj.2'!I88</f>
        <v>0</v>
      </c>
      <c r="J88" s="71">
        <f>0+'[1]táj.2'!J88</f>
        <v>0</v>
      </c>
      <c r="K88" s="71">
        <f>5000+'[1]táj.2'!K88</f>
        <v>5000</v>
      </c>
      <c r="L88" s="71">
        <f>0+'[1]táj.2'!L88</f>
        <v>0</v>
      </c>
      <c r="M88" s="71">
        <f>0+'[1]táj.2'!M88</f>
        <v>0</v>
      </c>
      <c r="N88" s="71">
        <f>0+'[1]táj.2'!N88</f>
        <v>0</v>
      </c>
      <c r="O88" s="71">
        <f>0+'[1]táj.2'!O88</f>
        <v>0</v>
      </c>
      <c r="P88" s="71">
        <f>0+'[1]táj.2'!P88</f>
        <v>0</v>
      </c>
      <c r="Q88" s="11">
        <f t="shared" si="5"/>
        <v>5000</v>
      </c>
    </row>
    <row r="89" spans="1:17" ht="13.5" customHeight="1">
      <c r="A89" s="70"/>
      <c r="B89" s="70"/>
      <c r="C89" s="127"/>
      <c r="D89" s="10" t="s">
        <v>188</v>
      </c>
      <c r="E89" s="389">
        <v>2</v>
      </c>
      <c r="F89" s="11">
        <v>131403</v>
      </c>
      <c r="G89" s="71">
        <f>0+'[1]táj.2'!G89</f>
        <v>0</v>
      </c>
      <c r="H89" s="71">
        <f>0+'[1]táj.2'!H89</f>
        <v>0</v>
      </c>
      <c r="I89" s="71">
        <f>0+'[1]táj.2'!I89</f>
        <v>0</v>
      </c>
      <c r="J89" s="71">
        <f>0+'[1]táj.2'!J89</f>
        <v>0</v>
      </c>
      <c r="K89" s="71">
        <f>10000+'[1]táj.2'!K89</f>
        <v>10000</v>
      </c>
      <c r="L89" s="71">
        <f>0+'[1]táj.2'!L89</f>
        <v>0</v>
      </c>
      <c r="M89" s="71">
        <f>0+'[1]táj.2'!M89</f>
        <v>0</v>
      </c>
      <c r="N89" s="71">
        <f>0+'[1]táj.2'!N89</f>
        <v>0</v>
      </c>
      <c r="O89" s="71">
        <f>0+'[1]táj.2'!O89</f>
        <v>0</v>
      </c>
      <c r="P89" s="71">
        <f>0+'[1]táj.2'!P89</f>
        <v>0</v>
      </c>
      <c r="Q89" s="11">
        <f t="shared" si="5"/>
        <v>10000</v>
      </c>
    </row>
    <row r="90" spans="1:17" ht="13.5" customHeight="1">
      <c r="A90" s="70"/>
      <c r="B90" s="70"/>
      <c r="C90" s="127"/>
      <c r="D90" s="10" t="s">
        <v>189</v>
      </c>
      <c r="E90" s="389">
        <v>2</v>
      </c>
      <c r="F90" s="11">
        <v>131404</v>
      </c>
      <c r="G90" s="71">
        <f>0+'[1]táj.2'!G90</f>
        <v>0</v>
      </c>
      <c r="H90" s="71">
        <f>0+'[1]táj.2'!H90</f>
        <v>0</v>
      </c>
      <c r="I90" s="71">
        <f>0+'[1]táj.2'!I90</f>
        <v>0</v>
      </c>
      <c r="J90" s="71">
        <f>0+'[1]táj.2'!J90</f>
        <v>0</v>
      </c>
      <c r="K90" s="71">
        <f>6500+'[1]táj.2'!K90</f>
        <v>6050</v>
      </c>
      <c r="L90" s="71">
        <f>0+'[1]táj.2'!L90</f>
        <v>0</v>
      </c>
      <c r="M90" s="71">
        <f>0+'[1]táj.2'!M90</f>
        <v>0</v>
      </c>
      <c r="N90" s="71">
        <f>0+'[1]táj.2'!N90</f>
        <v>0</v>
      </c>
      <c r="O90" s="71">
        <f>0+'[1]táj.2'!O90</f>
        <v>0</v>
      </c>
      <c r="P90" s="71">
        <f>0+'[1]táj.2'!P90</f>
        <v>0</v>
      </c>
      <c r="Q90" s="11">
        <f t="shared" si="5"/>
        <v>6050</v>
      </c>
    </row>
    <row r="91" spans="1:17" ht="13.5" customHeight="1">
      <c r="A91" s="70"/>
      <c r="B91" s="70"/>
      <c r="C91" s="127"/>
      <c r="D91" s="10" t="s">
        <v>589</v>
      </c>
      <c r="E91" s="389">
        <v>2</v>
      </c>
      <c r="F91" s="11">
        <v>131330</v>
      </c>
      <c r="G91" s="71">
        <f>0+'[1]táj.2'!G91</f>
        <v>0</v>
      </c>
      <c r="H91" s="71">
        <f>0+'[1]táj.2'!H91</f>
        <v>0</v>
      </c>
      <c r="I91" s="71">
        <f>0+'[1]táj.2'!I91</f>
        <v>0</v>
      </c>
      <c r="J91" s="71">
        <f>0+'[1]táj.2'!J91</f>
        <v>0</v>
      </c>
      <c r="K91" s="71">
        <f>3000+'[1]táj.2'!K91</f>
        <v>3000</v>
      </c>
      <c r="L91" s="71">
        <f>0+'[1]táj.2'!L91</f>
        <v>0</v>
      </c>
      <c r="M91" s="71">
        <f>0+'[1]táj.2'!M91</f>
        <v>0</v>
      </c>
      <c r="N91" s="71">
        <f>0+'[1]táj.2'!N91</f>
        <v>0</v>
      </c>
      <c r="O91" s="71">
        <f>0+'[1]táj.2'!O91</f>
        <v>0</v>
      </c>
      <c r="P91" s="71">
        <f>0+'[1]táj.2'!P91</f>
        <v>0</v>
      </c>
      <c r="Q91" s="11">
        <f t="shared" si="5"/>
        <v>3000</v>
      </c>
    </row>
    <row r="92" spans="1:17" ht="13.5" customHeight="1">
      <c r="A92" s="70"/>
      <c r="B92" s="70"/>
      <c r="C92" s="127"/>
      <c r="D92" s="10" t="s">
        <v>695</v>
      </c>
      <c r="E92" s="389">
        <v>2</v>
      </c>
      <c r="F92" s="11">
        <v>131507</v>
      </c>
      <c r="G92" s="71">
        <f>0+'[1]táj.2'!G92</f>
        <v>0</v>
      </c>
      <c r="H92" s="71">
        <f>0+'[1]táj.2'!H92</f>
        <v>0</v>
      </c>
      <c r="I92" s="71">
        <f>0+'[1]táj.2'!I92</f>
        <v>0</v>
      </c>
      <c r="J92" s="71">
        <f>0+'[1]táj.2'!J92</f>
        <v>0</v>
      </c>
      <c r="K92" s="71">
        <f>2000+'[1]táj.2'!K92</f>
        <v>2000</v>
      </c>
      <c r="L92" s="71">
        <f>0+'[1]táj.2'!L92</f>
        <v>0</v>
      </c>
      <c r="M92" s="71">
        <f>0+'[1]táj.2'!M92</f>
        <v>0</v>
      </c>
      <c r="N92" s="71">
        <f>0+'[1]táj.2'!N92</f>
        <v>0</v>
      </c>
      <c r="O92" s="71">
        <f>0+'[1]táj.2'!O92</f>
        <v>0</v>
      </c>
      <c r="P92" s="71">
        <f>0+'[1]táj.2'!P92</f>
        <v>0</v>
      </c>
      <c r="Q92" s="11">
        <f t="shared" si="5"/>
        <v>2000</v>
      </c>
    </row>
    <row r="93" spans="1:17" ht="13.5" customHeight="1">
      <c r="A93" s="70"/>
      <c r="B93" s="70"/>
      <c r="C93" s="678"/>
      <c r="D93" s="217" t="s">
        <v>1070</v>
      </c>
      <c r="E93" s="389">
        <v>2</v>
      </c>
      <c r="F93" s="11">
        <v>171943</v>
      </c>
      <c r="G93" s="71">
        <f>0+'[1]táj.2'!G93</f>
        <v>0</v>
      </c>
      <c r="H93" s="71">
        <f>0+'[1]táj.2'!H93</f>
        <v>0</v>
      </c>
      <c r="I93" s="71">
        <f>0+'[1]táj.2'!I93</f>
        <v>0</v>
      </c>
      <c r="J93" s="71">
        <f>0+'[1]táj.2'!J93</f>
        <v>0</v>
      </c>
      <c r="K93" s="71">
        <f>400+'[1]táj.2'!K93</f>
        <v>400</v>
      </c>
      <c r="L93" s="71">
        <f>0+'[1]táj.2'!L93</f>
        <v>0</v>
      </c>
      <c r="M93" s="71">
        <f>0+'[1]táj.2'!M93</f>
        <v>0</v>
      </c>
      <c r="N93" s="71">
        <f>0+'[1]táj.2'!N93</f>
        <v>0</v>
      </c>
      <c r="O93" s="71">
        <f>0+'[1]táj.2'!O93</f>
        <v>0</v>
      </c>
      <c r="P93" s="71">
        <f>0+'[1]táj.2'!P93</f>
        <v>0</v>
      </c>
      <c r="Q93" s="11">
        <f t="shared" si="5"/>
        <v>400</v>
      </c>
    </row>
    <row r="94" spans="1:17" ht="13.5" customHeight="1">
      <c r="A94" s="70"/>
      <c r="B94" s="70"/>
      <c r="C94" s="70"/>
      <c r="D94" s="10" t="s">
        <v>1227</v>
      </c>
      <c r="E94" s="389">
        <v>2</v>
      </c>
      <c r="F94" s="11">
        <v>131409</v>
      </c>
      <c r="G94" s="71">
        <f>0+'[1]táj.2'!G94</f>
        <v>0</v>
      </c>
      <c r="H94" s="71">
        <f>0+'[1]táj.2'!H94</f>
        <v>0</v>
      </c>
      <c r="I94" s="71">
        <f>0+'[1]táj.2'!I94</f>
        <v>0</v>
      </c>
      <c r="J94" s="71">
        <f>0+'[1]táj.2'!J94</f>
        <v>0</v>
      </c>
      <c r="K94" s="71">
        <f>1000+'[1]táj.2'!K94</f>
        <v>1000</v>
      </c>
      <c r="L94" s="71">
        <f>0+'[1]táj.2'!L94</f>
        <v>0</v>
      </c>
      <c r="M94" s="71">
        <f>0+'[1]táj.2'!M94</f>
        <v>0</v>
      </c>
      <c r="N94" s="71">
        <f>0+'[1]táj.2'!N94</f>
        <v>0</v>
      </c>
      <c r="O94" s="71">
        <f>0+'[1]táj.2'!O94</f>
        <v>0</v>
      </c>
      <c r="P94" s="71">
        <f>0+'[1]táj.2'!P94</f>
        <v>0</v>
      </c>
      <c r="Q94" s="11">
        <f t="shared" si="5"/>
        <v>1000</v>
      </c>
    </row>
    <row r="95" spans="1:17" ht="13.5" customHeight="1">
      <c r="A95" s="70"/>
      <c r="B95" s="70"/>
      <c r="C95" s="70"/>
      <c r="D95" s="10" t="s">
        <v>1228</v>
      </c>
      <c r="E95" s="389">
        <v>2</v>
      </c>
      <c r="F95" s="11">
        <v>131410</v>
      </c>
      <c r="G95" s="71">
        <f>0+'[1]táj.2'!G95</f>
        <v>0</v>
      </c>
      <c r="H95" s="71">
        <f>0+'[1]táj.2'!H95</f>
        <v>0</v>
      </c>
      <c r="I95" s="71">
        <f>0+'[1]táj.2'!I95</f>
        <v>0</v>
      </c>
      <c r="J95" s="71">
        <f>0+'[1]táj.2'!J95</f>
        <v>0</v>
      </c>
      <c r="K95" s="71">
        <f>200+'[1]táj.2'!K95</f>
        <v>200</v>
      </c>
      <c r="L95" s="71">
        <f>0+'[1]táj.2'!L95</f>
        <v>0</v>
      </c>
      <c r="M95" s="71">
        <f>0+'[1]táj.2'!M95</f>
        <v>0</v>
      </c>
      <c r="N95" s="71">
        <f>0+'[1]táj.2'!N95</f>
        <v>0</v>
      </c>
      <c r="O95" s="71">
        <f>0+'[1]táj.2'!O95</f>
        <v>0</v>
      </c>
      <c r="P95" s="71">
        <f>0+'[1]táj.2'!P95</f>
        <v>0</v>
      </c>
      <c r="Q95" s="11">
        <f t="shared" si="5"/>
        <v>200</v>
      </c>
    </row>
    <row r="96" spans="1:17" ht="13.5" customHeight="1">
      <c r="A96" s="70"/>
      <c r="B96" s="70"/>
      <c r="C96" s="127"/>
      <c r="D96" s="471" t="s">
        <v>810</v>
      </c>
      <c r="E96" s="388"/>
      <c r="F96" s="143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11"/>
    </row>
    <row r="97" spans="1:17" ht="13.5" customHeight="1">
      <c r="A97" s="70"/>
      <c r="B97" s="70"/>
      <c r="C97" s="127"/>
      <c r="D97" s="471" t="s">
        <v>190</v>
      </c>
      <c r="E97" s="472">
        <v>2</v>
      </c>
      <c r="F97" s="29">
        <v>131502</v>
      </c>
      <c r="G97" s="71">
        <f>0+'[1]táj.2'!G97</f>
        <v>0</v>
      </c>
      <c r="H97" s="71">
        <f>0+'[1]táj.2'!H97</f>
        <v>0</v>
      </c>
      <c r="I97" s="71">
        <f>0+'[1]táj.2'!I97</f>
        <v>0</v>
      </c>
      <c r="J97" s="71">
        <f>600+'[1]táj.2'!J97</f>
        <v>600</v>
      </c>
      <c r="K97" s="71">
        <f>0+'[1]táj.2'!K97</f>
        <v>0</v>
      </c>
      <c r="L97" s="71">
        <f>0+'[1]táj.2'!L97</f>
        <v>0</v>
      </c>
      <c r="M97" s="71">
        <f>0+'[1]táj.2'!M97</f>
        <v>0</v>
      </c>
      <c r="N97" s="71">
        <f>0+'[1]táj.2'!N97</f>
        <v>0</v>
      </c>
      <c r="O97" s="71">
        <f>0+'[1]táj.2'!O97</f>
        <v>0</v>
      </c>
      <c r="P97" s="71">
        <f>0+'[1]táj.2'!P97</f>
        <v>0</v>
      </c>
      <c r="Q97" s="11">
        <f>SUM(G97:P97)</f>
        <v>600</v>
      </c>
    </row>
    <row r="98" spans="1:17" ht="13.5" customHeight="1">
      <c r="A98" s="70"/>
      <c r="B98" s="70"/>
      <c r="C98" s="127"/>
      <c r="D98" s="680" t="s">
        <v>1173</v>
      </c>
      <c r="E98" s="404"/>
      <c r="F98" s="68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11"/>
    </row>
    <row r="99" spans="1:17" ht="13.5" customHeight="1">
      <c r="A99" s="70"/>
      <c r="B99" s="70"/>
      <c r="C99" s="127"/>
      <c r="D99" s="662" t="s">
        <v>729</v>
      </c>
      <c r="E99" s="387"/>
      <c r="F99" s="142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11"/>
    </row>
    <row r="100" spans="1:17" ht="13.5" customHeight="1">
      <c r="A100" s="70"/>
      <c r="B100" s="70"/>
      <c r="C100" s="127"/>
      <c r="D100" s="662" t="s">
        <v>657</v>
      </c>
      <c r="E100" s="389">
        <v>1</v>
      </c>
      <c r="F100" s="11">
        <v>131703</v>
      </c>
      <c r="G100" s="71">
        <f>0+'[1]táj.2'!G100</f>
        <v>0</v>
      </c>
      <c r="H100" s="71">
        <f>0+'[1]táj.2'!H100</f>
        <v>0</v>
      </c>
      <c r="I100" s="71">
        <f>10500+'[1]táj.2'!I100</f>
        <v>10500</v>
      </c>
      <c r="J100" s="71">
        <f>0+'[1]táj.2'!J100</f>
        <v>0</v>
      </c>
      <c r="K100" s="71">
        <f>0+'[1]táj.2'!K100</f>
        <v>0</v>
      </c>
      <c r="L100" s="71">
        <f>0+'[1]táj.2'!L100</f>
        <v>0</v>
      </c>
      <c r="M100" s="71">
        <f>0+'[1]táj.2'!M100</f>
        <v>0</v>
      </c>
      <c r="N100" s="71">
        <f>0+'[1]táj.2'!N100</f>
        <v>0</v>
      </c>
      <c r="O100" s="71">
        <f>0+'[1]táj.2'!O100</f>
        <v>0</v>
      </c>
      <c r="P100" s="71">
        <f>0+'[1]táj.2'!P100</f>
        <v>0</v>
      </c>
      <c r="Q100" s="11">
        <f>SUM(G100:P100)</f>
        <v>10500</v>
      </c>
    </row>
    <row r="101" spans="1:17" ht="15" customHeight="1">
      <c r="A101" s="70"/>
      <c r="B101" s="70"/>
      <c r="C101" s="127"/>
      <c r="D101" s="72" t="s">
        <v>696</v>
      </c>
      <c r="E101" s="389">
        <v>1</v>
      </c>
      <c r="F101" s="11">
        <v>121319</v>
      </c>
      <c r="G101" s="71">
        <f>0+'[1]táj.2'!G101</f>
        <v>0</v>
      </c>
      <c r="H101" s="71">
        <f>0+'[1]táj.2'!H101</f>
        <v>0</v>
      </c>
      <c r="I101" s="71">
        <f>3303+'[1]táj.2'!I101</f>
        <v>3303</v>
      </c>
      <c r="J101" s="71">
        <f>0+'[1]táj.2'!J101</f>
        <v>0</v>
      </c>
      <c r="K101" s="71">
        <f>0+'[1]táj.2'!K101</f>
        <v>0</v>
      </c>
      <c r="L101" s="71">
        <f>0+'[1]táj.2'!L101</f>
        <v>0</v>
      </c>
      <c r="M101" s="71">
        <f>0+'[1]táj.2'!M101</f>
        <v>0</v>
      </c>
      <c r="N101" s="71">
        <f>0+'[1]táj.2'!N101</f>
        <v>0</v>
      </c>
      <c r="O101" s="71">
        <f>0+'[1]táj.2'!O101</f>
        <v>0</v>
      </c>
      <c r="P101" s="71">
        <f>0+'[1]táj.2'!P101</f>
        <v>0</v>
      </c>
      <c r="Q101" s="11">
        <f>SUM(G101:P101)</f>
        <v>3303</v>
      </c>
    </row>
    <row r="102" spans="1:17" ht="15" customHeight="1">
      <c r="A102" s="70"/>
      <c r="B102" s="70"/>
      <c r="C102" s="127"/>
      <c r="D102" s="682" t="s">
        <v>1073</v>
      </c>
      <c r="E102" s="389">
        <v>2</v>
      </c>
      <c r="F102" s="11">
        <v>131711</v>
      </c>
      <c r="G102" s="71">
        <f>0+'[1]táj.2'!G102</f>
        <v>0</v>
      </c>
      <c r="H102" s="71">
        <f>0+'[1]táj.2'!H102</f>
        <v>0</v>
      </c>
      <c r="I102" s="71">
        <f>0+'[1]táj.2'!I102</f>
        <v>0</v>
      </c>
      <c r="J102" s="71">
        <f>0+'[1]táj.2'!J102</f>
        <v>0</v>
      </c>
      <c r="K102" s="71">
        <f>1200+'[1]táj.2'!K102</f>
        <v>1200</v>
      </c>
      <c r="L102" s="71">
        <f>0+'[1]táj.2'!L102</f>
        <v>0</v>
      </c>
      <c r="M102" s="71">
        <f>0+'[1]táj.2'!M102</f>
        <v>0</v>
      </c>
      <c r="N102" s="71">
        <f>0+'[1]táj.2'!N102</f>
        <v>0</v>
      </c>
      <c r="O102" s="71">
        <f>0+'[1]táj.2'!O102</f>
        <v>0</v>
      </c>
      <c r="P102" s="71">
        <f>0+'[1]táj.2'!P102</f>
        <v>0</v>
      </c>
      <c r="Q102" s="11">
        <f>SUM(G102:P102)</f>
        <v>1200</v>
      </c>
    </row>
    <row r="103" spans="1:17" ht="27" customHeight="1">
      <c r="A103" s="70"/>
      <c r="B103" s="70"/>
      <c r="C103" s="127"/>
      <c r="D103" s="683" t="s">
        <v>913</v>
      </c>
      <c r="E103" s="10"/>
      <c r="F103" s="1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11"/>
    </row>
    <row r="104" spans="1:17" ht="16.5" customHeight="1">
      <c r="A104" s="70"/>
      <c r="B104" s="70"/>
      <c r="C104" s="127"/>
      <c r="D104" s="683" t="s">
        <v>212</v>
      </c>
      <c r="E104" s="10">
        <v>2</v>
      </c>
      <c r="F104" s="11">
        <v>131506</v>
      </c>
      <c r="G104" s="71">
        <f>700+'[1]táj.2'!G104</f>
        <v>700</v>
      </c>
      <c r="H104" s="71">
        <f>285+'[1]táj.2'!H104</f>
        <v>285</v>
      </c>
      <c r="I104" s="71">
        <f>1265+'[1]táj.2'!I104</f>
        <v>1265</v>
      </c>
      <c r="J104" s="71">
        <f>0+'[1]táj.2'!J104</f>
        <v>0</v>
      </c>
      <c r="K104" s="71">
        <f>0+'[1]táj.2'!K104</f>
        <v>0</v>
      </c>
      <c r="L104" s="71">
        <f>0+'[1]táj.2'!L104</f>
        <v>0</v>
      </c>
      <c r="M104" s="71">
        <f>0+'[1]táj.2'!M104</f>
        <v>0</v>
      </c>
      <c r="N104" s="71">
        <f>0+'[1]táj.2'!N104</f>
        <v>0</v>
      </c>
      <c r="O104" s="71">
        <f>0+'[1]táj.2'!O104</f>
        <v>0</v>
      </c>
      <c r="P104" s="71">
        <f>0+'[1]táj.2'!P104</f>
        <v>0</v>
      </c>
      <c r="Q104" s="11">
        <f>SUM(G104:P104)</f>
        <v>2250</v>
      </c>
    </row>
    <row r="105" spans="1:17" ht="15" customHeight="1">
      <c r="A105" s="70"/>
      <c r="B105" s="70"/>
      <c r="C105" s="127"/>
      <c r="D105" s="10" t="s">
        <v>731</v>
      </c>
      <c r="E105" s="10"/>
      <c r="F105" s="1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11"/>
    </row>
    <row r="106" spans="1:17" ht="15" customHeight="1">
      <c r="A106" s="70"/>
      <c r="B106" s="70"/>
      <c r="C106" s="127"/>
      <c r="D106" s="10" t="s">
        <v>769</v>
      </c>
      <c r="E106" s="10">
        <v>2</v>
      </c>
      <c r="F106" s="11">
        <v>131707</v>
      </c>
      <c r="G106" s="71">
        <f>0+'[1]táj.2'!G106</f>
        <v>0</v>
      </c>
      <c r="H106" s="71">
        <f>0+'[1]táj.2'!H106</f>
        <v>0</v>
      </c>
      <c r="I106" s="71">
        <f>0+'[1]táj.2'!I106</f>
        <v>0</v>
      </c>
      <c r="J106" s="71">
        <f>0+'[1]táj.2'!J106</f>
        <v>0</v>
      </c>
      <c r="K106" s="71">
        <f>11500+'[1]táj.2'!K106</f>
        <v>11500</v>
      </c>
      <c r="L106" s="71">
        <f>0+'[1]táj.2'!L106</f>
        <v>0</v>
      </c>
      <c r="M106" s="71">
        <f>0+'[1]táj.2'!M106</f>
        <v>0</v>
      </c>
      <c r="N106" s="71">
        <f>0+'[1]táj.2'!N106</f>
        <v>0</v>
      </c>
      <c r="O106" s="71">
        <f>0+'[1]táj.2'!O106</f>
        <v>0</v>
      </c>
      <c r="P106" s="71">
        <f>0+'[1]táj.2'!P106</f>
        <v>0</v>
      </c>
      <c r="Q106" s="11">
        <f>SUM(G106:P106)</f>
        <v>11500</v>
      </c>
    </row>
    <row r="107" spans="1:17" ht="15" customHeight="1">
      <c r="A107" s="70"/>
      <c r="B107" s="70"/>
      <c r="C107" s="127"/>
      <c r="D107" s="10" t="s">
        <v>246</v>
      </c>
      <c r="E107" s="10">
        <v>2</v>
      </c>
      <c r="F107" s="11">
        <v>131713</v>
      </c>
      <c r="G107" s="71">
        <f>0+'[1]táj.2'!G107</f>
        <v>0</v>
      </c>
      <c r="H107" s="71">
        <f>0+'[1]táj.2'!H107</f>
        <v>0</v>
      </c>
      <c r="I107" s="71">
        <f>0+'[1]táj.2'!I107</f>
        <v>0</v>
      </c>
      <c r="J107" s="71">
        <f>0+'[1]táj.2'!J107</f>
        <v>0</v>
      </c>
      <c r="K107" s="71">
        <f>3000+'[1]táj.2'!K107</f>
        <v>3000</v>
      </c>
      <c r="L107" s="71">
        <f>0+'[1]táj.2'!L107</f>
        <v>0</v>
      </c>
      <c r="M107" s="71">
        <f>0+'[1]táj.2'!M107</f>
        <v>0</v>
      </c>
      <c r="N107" s="71">
        <f>0+'[1]táj.2'!N107</f>
        <v>0</v>
      </c>
      <c r="O107" s="71">
        <f>0+'[1]táj.2'!O107</f>
        <v>0</v>
      </c>
      <c r="P107" s="71">
        <f>0+'[1]táj.2'!P107</f>
        <v>0</v>
      </c>
      <c r="Q107" s="11">
        <f>SUM(G107:P107)</f>
        <v>3000</v>
      </c>
    </row>
    <row r="108" spans="1:17" ht="16.5" customHeight="1">
      <c r="A108" s="70"/>
      <c r="B108" s="70"/>
      <c r="C108" s="127"/>
      <c r="D108" s="122" t="s">
        <v>811</v>
      </c>
      <c r="E108" s="409"/>
      <c r="F108" s="143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11"/>
    </row>
    <row r="109" spans="1:17" ht="15" customHeight="1">
      <c r="A109" s="70"/>
      <c r="B109" s="70"/>
      <c r="C109" s="127"/>
      <c r="D109" s="10" t="s">
        <v>1197</v>
      </c>
      <c r="E109" s="393">
        <v>2</v>
      </c>
      <c r="F109" s="11">
        <v>131706</v>
      </c>
      <c r="G109" s="71">
        <f>500+'[1]táj.2'!G109</f>
        <v>500</v>
      </c>
      <c r="H109" s="71">
        <f>200+'[1]táj.2'!H109</f>
        <v>200</v>
      </c>
      <c r="I109" s="71">
        <f>900+'[1]táj.2'!I109</f>
        <v>900</v>
      </c>
      <c r="J109" s="71">
        <f>0+'[1]táj.2'!J109</f>
        <v>0</v>
      </c>
      <c r="K109" s="71">
        <f>1200+'[1]táj.2'!K109</f>
        <v>1200</v>
      </c>
      <c r="L109" s="71">
        <f>0+'[1]táj.2'!L109</f>
        <v>0</v>
      </c>
      <c r="M109" s="71">
        <f>0+'[1]táj.2'!M109</f>
        <v>0</v>
      </c>
      <c r="N109" s="71">
        <f>0+'[1]táj.2'!N109</f>
        <v>0</v>
      </c>
      <c r="O109" s="71">
        <f>0+'[1]táj.2'!O109</f>
        <v>0</v>
      </c>
      <c r="P109" s="71">
        <f>0+'[1]táj.2'!P109</f>
        <v>0</v>
      </c>
      <c r="Q109" s="11">
        <f>SUM(G109:P109)</f>
        <v>2800</v>
      </c>
    </row>
    <row r="110" spans="1:17" ht="15" customHeight="1">
      <c r="A110" s="70"/>
      <c r="B110" s="70"/>
      <c r="C110" s="127"/>
      <c r="D110" s="10" t="s">
        <v>1039</v>
      </c>
      <c r="E110" s="393">
        <v>2</v>
      </c>
      <c r="F110" s="11">
        <v>131712</v>
      </c>
      <c r="G110" s="71">
        <f>0+'[1]táj.2'!G110</f>
        <v>0</v>
      </c>
      <c r="H110" s="71">
        <f>0+'[1]táj.2'!H110</f>
        <v>0</v>
      </c>
      <c r="I110" s="71">
        <f>630+'[1]táj.2'!I110</f>
        <v>630</v>
      </c>
      <c r="J110" s="71">
        <f>0+'[1]táj.2'!J110</f>
        <v>0</v>
      </c>
      <c r="K110" s="71">
        <f>0+'[1]táj.2'!K110</f>
        <v>0</v>
      </c>
      <c r="L110" s="71">
        <f>0+'[1]táj.2'!L110</f>
        <v>0</v>
      </c>
      <c r="M110" s="71">
        <f>0+'[1]táj.2'!M110</f>
        <v>0</v>
      </c>
      <c r="N110" s="71">
        <f>0+'[1]táj.2'!N110</f>
        <v>0</v>
      </c>
      <c r="O110" s="71">
        <f>0+'[1]táj.2'!O110</f>
        <v>0</v>
      </c>
      <c r="P110" s="71">
        <f>0+'[1]táj.2'!P110</f>
        <v>0</v>
      </c>
      <c r="Q110" s="11">
        <f>SUM(G110:P110)</f>
        <v>630</v>
      </c>
    </row>
    <row r="111" spans="1:17" ht="15" customHeight="1">
      <c r="A111" s="70"/>
      <c r="B111" s="70"/>
      <c r="C111" s="127"/>
      <c r="D111" s="122" t="s">
        <v>1040</v>
      </c>
      <c r="E111" s="393">
        <v>2</v>
      </c>
      <c r="F111" s="11">
        <v>131714</v>
      </c>
      <c r="G111" s="71">
        <f>0+'[1]táj.2'!G111</f>
        <v>0</v>
      </c>
      <c r="H111" s="71">
        <f>0+'[1]táj.2'!H111</f>
        <v>0</v>
      </c>
      <c r="I111" s="71">
        <f>0+'[1]táj.2'!I111</f>
        <v>0</v>
      </c>
      <c r="J111" s="71">
        <f>0+'[1]táj.2'!J111</f>
        <v>0</v>
      </c>
      <c r="K111" s="71">
        <f>3000+'[1]táj.2'!K111</f>
        <v>3000</v>
      </c>
      <c r="L111" s="71">
        <f>0+'[1]táj.2'!L111</f>
        <v>0</v>
      </c>
      <c r="M111" s="71">
        <f>0+'[1]táj.2'!M111</f>
        <v>0</v>
      </c>
      <c r="N111" s="71">
        <f>0+'[1]táj.2'!N111</f>
        <v>0</v>
      </c>
      <c r="O111" s="71">
        <f>0+'[1]táj.2'!O111</f>
        <v>0</v>
      </c>
      <c r="P111" s="71">
        <f>0+'[1]táj.2'!P111</f>
        <v>0</v>
      </c>
      <c r="Q111" s="11">
        <f>SUM(G111:P111)</f>
        <v>3000</v>
      </c>
    </row>
    <row r="112" spans="1:17" ht="15" customHeight="1">
      <c r="A112" s="70"/>
      <c r="B112" s="70"/>
      <c r="C112" s="127"/>
      <c r="D112" s="10" t="s">
        <v>238</v>
      </c>
      <c r="E112" s="684"/>
      <c r="F112" s="1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11"/>
    </row>
    <row r="113" spans="1:17" ht="15" customHeight="1">
      <c r="A113" s="70"/>
      <c r="B113" s="70"/>
      <c r="C113" s="127"/>
      <c r="D113" s="10" t="s">
        <v>898</v>
      </c>
      <c r="E113" s="393">
        <v>2</v>
      </c>
      <c r="F113" s="11">
        <v>128901</v>
      </c>
      <c r="G113" s="71">
        <f>0+'[1]táj.2'!G113</f>
        <v>0</v>
      </c>
      <c r="H113" s="71">
        <f>0+'[1]táj.2'!H113</f>
        <v>0</v>
      </c>
      <c r="I113" s="71">
        <f>0+'[1]táj.2'!I113</f>
        <v>0</v>
      </c>
      <c r="J113" s="71">
        <f>0+'[1]táj.2'!J113</f>
        <v>0</v>
      </c>
      <c r="K113" s="71">
        <f>2500+'[1]táj.2'!K113</f>
        <v>2500</v>
      </c>
      <c r="L113" s="71">
        <f>0+'[1]táj.2'!L113</f>
        <v>0</v>
      </c>
      <c r="M113" s="71">
        <f>0+'[1]táj.2'!M113</f>
        <v>0</v>
      </c>
      <c r="N113" s="71">
        <f>0+'[1]táj.2'!N113</f>
        <v>0</v>
      </c>
      <c r="O113" s="71">
        <f>0+'[1]táj.2'!O113</f>
        <v>0</v>
      </c>
      <c r="P113" s="71">
        <f>0+'[1]táj.2'!P113</f>
        <v>0</v>
      </c>
      <c r="Q113" s="11">
        <f>SUM(G113:P113)</f>
        <v>2500</v>
      </c>
    </row>
    <row r="114" spans="1:17" ht="15" customHeight="1">
      <c r="A114" s="70"/>
      <c r="B114" s="70"/>
      <c r="C114" s="127"/>
      <c r="D114" s="10" t="s">
        <v>346</v>
      </c>
      <c r="E114" s="393">
        <v>2</v>
      </c>
      <c r="F114" s="11">
        <v>131708</v>
      </c>
      <c r="G114" s="71">
        <f>0+'[1]táj.2'!G114</f>
        <v>0</v>
      </c>
      <c r="H114" s="71">
        <f>0+'[1]táj.2'!H114</f>
        <v>0</v>
      </c>
      <c r="I114" s="71">
        <f>0+'[1]táj.2'!I114</f>
        <v>0</v>
      </c>
      <c r="J114" s="71">
        <f>0+'[1]táj.2'!J114</f>
        <v>0</v>
      </c>
      <c r="K114" s="71">
        <f>1000+'[1]táj.2'!K114</f>
        <v>1000</v>
      </c>
      <c r="L114" s="71">
        <f>0+'[1]táj.2'!L114</f>
        <v>0</v>
      </c>
      <c r="M114" s="71">
        <f>0+'[1]táj.2'!M114</f>
        <v>0</v>
      </c>
      <c r="N114" s="71">
        <f>0+'[1]táj.2'!N114</f>
        <v>0</v>
      </c>
      <c r="O114" s="71">
        <f>0+'[1]táj.2'!O114</f>
        <v>0</v>
      </c>
      <c r="P114" s="71">
        <f>0+'[1]táj.2'!P114</f>
        <v>0</v>
      </c>
      <c r="Q114" s="11">
        <f>SUM(G114:P114)</f>
        <v>1000</v>
      </c>
    </row>
    <row r="115" spans="1:17" ht="15" customHeight="1">
      <c r="A115" s="70"/>
      <c r="B115" s="70"/>
      <c r="C115" s="127"/>
      <c r="D115" s="685" t="s">
        <v>398</v>
      </c>
      <c r="E115" s="10"/>
      <c r="F115" s="1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11"/>
    </row>
    <row r="116" spans="1:17" ht="15" customHeight="1">
      <c r="A116" s="70"/>
      <c r="B116" s="70"/>
      <c r="C116" s="127"/>
      <c r="D116" s="72" t="s">
        <v>732</v>
      </c>
      <c r="E116" s="389"/>
      <c r="F116" s="142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11"/>
    </row>
    <row r="117" spans="1:17" ht="15" customHeight="1">
      <c r="A117" s="70"/>
      <c r="B117" s="70"/>
      <c r="C117" s="127"/>
      <c r="D117" s="10" t="s">
        <v>216</v>
      </c>
      <c r="E117" s="10">
        <v>2</v>
      </c>
      <c r="F117" s="11">
        <v>131803</v>
      </c>
      <c r="G117" s="71">
        <f>0+'[1]táj.2'!G117</f>
        <v>0</v>
      </c>
      <c r="H117" s="71">
        <f>0+'[1]táj.2'!H117</f>
        <v>0</v>
      </c>
      <c r="I117" s="71">
        <f>0+'[1]táj.2'!I117</f>
        <v>0</v>
      </c>
      <c r="J117" s="71">
        <f>0+'[1]táj.2'!J117</f>
        <v>0</v>
      </c>
      <c r="K117" s="71">
        <f>150000+'[1]táj.2'!K117</f>
        <v>150000</v>
      </c>
      <c r="L117" s="71">
        <f>0+'[1]táj.2'!L117</f>
        <v>0</v>
      </c>
      <c r="M117" s="71">
        <f>0+'[1]táj.2'!M117</f>
        <v>0</v>
      </c>
      <c r="N117" s="71">
        <f>0+'[1]táj.2'!N117</f>
        <v>0</v>
      </c>
      <c r="O117" s="71">
        <f>0+'[1]táj.2'!O117</f>
        <v>0</v>
      </c>
      <c r="P117" s="71">
        <f>0+'[1]táj.2'!P117</f>
        <v>0</v>
      </c>
      <c r="Q117" s="11">
        <f>SUM(G117:P117)</f>
        <v>150000</v>
      </c>
    </row>
    <row r="118" spans="1:17" ht="15" customHeight="1">
      <c r="A118" s="70"/>
      <c r="B118" s="70"/>
      <c r="C118" s="127"/>
      <c r="D118" s="10" t="s">
        <v>1219</v>
      </c>
      <c r="E118" s="10">
        <v>2</v>
      </c>
      <c r="F118" s="11">
        <v>131804</v>
      </c>
      <c r="G118" s="71">
        <f>0+'[1]táj.2'!G118</f>
        <v>0</v>
      </c>
      <c r="H118" s="71">
        <f>0+'[1]táj.2'!H118</f>
        <v>0</v>
      </c>
      <c r="I118" s="71">
        <f>0+'[1]táj.2'!I118</f>
        <v>0</v>
      </c>
      <c r="J118" s="71">
        <f>0+'[1]táj.2'!J118</f>
        <v>0</v>
      </c>
      <c r="K118" s="71">
        <f>65000+'[1]táj.2'!K118</f>
        <v>65000</v>
      </c>
      <c r="L118" s="71">
        <f>0+'[1]táj.2'!L118</f>
        <v>0</v>
      </c>
      <c r="M118" s="71">
        <f>0+'[1]táj.2'!M118</f>
        <v>0</v>
      </c>
      <c r="N118" s="71">
        <f>0+'[1]táj.2'!N118</f>
        <v>0</v>
      </c>
      <c r="O118" s="71">
        <f>0+'[1]táj.2'!O118</f>
        <v>0</v>
      </c>
      <c r="P118" s="71">
        <f>0+'[1]táj.2'!P118</f>
        <v>0</v>
      </c>
      <c r="Q118" s="11">
        <f>SUM(G118:P118)</f>
        <v>65000</v>
      </c>
    </row>
    <row r="119" spans="1:17" ht="15" customHeight="1">
      <c r="A119" s="70"/>
      <c r="B119" s="70"/>
      <c r="C119" s="127"/>
      <c r="D119" s="10" t="s">
        <v>399</v>
      </c>
      <c r="E119" s="10">
        <v>2</v>
      </c>
      <c r="F119" s="11">
        <v>131805</v>
      </c>
      <c r="G119" s="71">
        <f>0+'[1]táj.2'!G119</f>
        <v>0</v>
      </c>
      <c r="H119" s="71">
        <f>0+'[1]táj.2'!H119</f>
        <v>0</v>
      </c>
      <c r="I119" s="71">
        <f>0+'[1]táj.2'!I119</f>
        <v>0</v>
      </c>
      <c r="J119" s="71">
        <f>0+'[1]táj.2'!J119</f>
        <v>0</v>
      </c>
      <c r="K119" s="71">
        <f>10000+'[1]táj.2'!K119</f>
        <v>10000</v>
      </c>
      <c r="L119" s="71">
        <f>0+'[1]táj.2'!L119</f>
        <v>0</v>
      </c>
      <c r="M119" s="71">
        <f>0+'[1]táj.2'!M119</f>
        <v>0</v>
      </c>
      <c r="N119" s="71">
        <f>0+'[1]táj.2'!N119</f>
        <v>0</v>
      </c>
      <c r="O119" s="71">
        <f>0+'[1]táj.2'!O119</f>
        <v>0</v>
      </c>
      <c r="P119" s="71">
        <f>0+'[1]táj.2'!P119</f>
        <v>0</v>
      </c>
      <c r="Q119" s="11">
        <f>SUM(G119:P119)</f>
        <v>10000</v>
      </c>
    </row>
    <row r="120" spans="1:17" ht="15" customHeight="1">
      <c r="A120" s="70"/>
      <c r="B120" s="70"/>
      <c r="C120" s="127"/>
      <c r="D120" s="72" t="s">
        <v>733</v>
      </c>
      <c r="E120" s="389"/>
      <c r="F120" s="142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11"/>
    </row>
    <row r="121" spans="1:17" ht="15" customHeight="1">
      <c r="A121" s="70"/>
      <c r="B121" s="70"/>
      <c r="C121" s="127"/>
      <c r="D121" s="10" t="s">
        <v>400</v>
      </c>
      <c r="E121" s="389">
        <v>1</v>
      </c>
      <c r="F121" s="11">
        <v>131808</v>
      </c>
      <c r="G121" s="71">
        <f>400+'[1]táj.2'!G121</f>
        <v>400</v>
      </c>
      <c r="H121" s="71">
        <f>70+'[1]táj.2'!H121</f>
        <v>70</v>
      </c>
      <c r="I121" s="71">
        <f>1280+'[1]táj.2'!I121</f>
        <v>1280</v>
      </c>
      <c r="J121" s="71">
        <f>0+'[1]táj.2'!J121</f>
        <v>0</v>
      </c>
      <c r="K121" s="71">
        <f>0+'[1]táj.2'!K121</f>
        <v>0</v>
      </c>
      <c r="L121" s="71">
        <f>0+'[1]táj.2'!L121</f>
        <v>0</v>
      </c>
      <c r="M121" s="71">
        <f>0+'[1]táj.2'!M121</f>
        <v>0</v>
      </c>
      <c r="N121" s="71">
        <f>0+'[1]táj.2'!N121</f>
        <v>0</v>
      </c>
      <c r="O121" s="71">
        <f>0+'[1]táj.2'!O121</f>
        <v>0</v>
      </c>
      <c r="P121" s="71">
        <f>0+'[1]táj.2'!P121</f>
        <v>0</v>
      </c>
      <c r="Q121" s="11">
        <f>SUM(G121:P121)</f>
        <v>1750</v>
      </c>
    </row>
    <row r="122" spans="1:17" ht="15" customHeight="1">
      <c r="A122" s="70"/>
      <c r="B122" s="70"/>
      <c r="C122" s="127"/>
      <c r="D122" s="10" t="s">
        <v>693</v>
      </c>
      <c r="E122" s="10">
        <v>1</v>
      </c>
      <c r="F122" s="11">
        <v>131807</v>
      </c>
      <c r="G122" s="71">
        <f>150+'[1]táj.2'!G122</f>
        <v>150</v>
      </c>
      <c r="H122" s="71">
        <f>60+'[1]táj.2'!H122</f>
        <v>60</v>
      </c>
      <c r="I122" s="71">
        <f>240+'[1]táj.2'!I122</f>
        <v>240</v>
      </c>
      <c r="J122" s="71">
        <f>0+'[1]táj.2'!J122</f>
        <v>0</v>
      </c>
      <c r="K122" s="71">
        <f>1000+'[1]táj.2'!K122</f>
        <v>1500</v>
      </c>
      <c r="L122" s="71">
        <f>0+'[1]táj.2'!L122</f>
        <v>0</v>
      </c>
      <c r="M122" s="71">
        <f>0+'[1]táj.2'!M122</f>
        <v>0</v>
      </c>
      <c r="N122" s="71">
        <f>0+'[1]táj.2'!N122</f>
        <v>0</v>
      </c>
      <c r="O122" s="71">
        <f>0+'[1]táj.2'!O122</f>
        <v>0</v>
      </c>
      <c r="P122" s="71">
        <f>0+'[1]táj.2'!P122</f>
        <v>0</v>
      </c>
      <c r="Q122" s="11">
        <f>SUM(G122:P122)</f>
        <v>1950</v>
      </c>
    </row>
    <row r="123" spans="1:17" ht="15" customHeight="1">
      <c r="A123" s="70"/>
      <c r="B123" s="70"/>
      <c r="C123" s="127"/>
      <c r="D123" s="10" t="s">
        <v>581</v>
      </c>
      <c r="E123" s="389">
        <v>1</v>
      </c>
      <c r="F123" s="11">
        <v>131809</v>
      </c>
      <c r="G123" s="71">
        <f>0+'[1]táj.2'!G123</f>
        <v>0</v>
      </c>
      <c r="H123" s="71">
        <f>0+'[1]táj.2'!H123</f>
        <v>0</v>
      </c>
      <c r="I123" s="71">
        <f>0+'[1]táj.2'!I123</f>
        <v>0</v>
      </c>
      <c r="J123" s="71">
        <f>0+'[1]táj.2'!J123</f>
        <v>0</v>
      </c>
      <c r="K123" s="71">
        <f>400+'[1]táj.2'!K123</f>
        <v>400</v>
      </c>
      <c r="L123" s="71">
        <f>0+'[1]táj.2'!L123</f>
        <v>0</v>
      </c>
      <c r="M123" s="71">
        <f>0+'[1]táj.2'!M123</f>
        <v>0</v>
      </c>
      <c r="N123" s="71">
        <f>0+'[1]táj.2'!N123</f>
        <v>0</v>
      </c>
      <c r="O123" s="71">
        <f>0+'[1]táj.2'!O123</f>
        <v>0</v>
      </c>
      <c r="P123" s="71">
        <f>0+'[1]táj.2'!P123</f>
        <v>0</v>
      </c>
      <c r="Q123" s="11">
        <f>SUM(G123:P123)</f>
        <v>400</v>
      </c>
    </row>
    <row r="124" spans="1:17" ht="15" customHeight="1">
      <c r="A124" s="70"/>
      <c r="B124" s="70"/>
      <c r="C124" s="127"/>
      <c r="D124" s="471" t="s">
        <v>323</v>
      </c>
      <c r="E124" s="10">
        <v>2</v>
      </c>
      <c r="F124" s="11">
        <v>131835</v>
      </c>
      <c r="G124" s="71">
        <f>0+'[1]táj.2'!G124</f>
        <v>0</v>
      </c>
      <c r="H124" s="71">
        <f>0+'[1]táj.2'!H124</f>
        <v>0</v>
      </c>
      <c r="I124" s="71">
        <f>0+'[1]táj.2'!I124</f>
        <v>0</v>
      </c>
      <c r="J124" s="71">
        <f>0+'[1]táj.2'!J124</f>
        <v>0</v>
      </c>
      <c r="K124" s="71">
        <f>6500+'[1]táj.2'!K124</f>
        <v>6500</v>
      </c>
      <c r="L124" s="71">
        <f>0+'[1]táj.2'!L124</f>
        <v>0</v>
      </c>
      <c r="M124" s="71">
        <f>0+'[1]táj.2'!M124</f>
        <v>0</v>
      </c>
      <c r="N124" s="71">
        <f>0+'[1]táj.2'!N124</f>
        <v>0</v>
      </c>
      <c r="O124" s="71">
        <f>0+'[1]táj.2'!O124</f>
        <v>0</v>
      </c>
      <c r="P124" s="71">
        <f>0+'[1]táj.2'!P124</f>
        <v>0</v>
      </c>
      <c r="Q124" s="11">
        <f>SUM(G124:P124)</f>
        <v>6500</v>
      </c>
    </row>
    <row r="125" spans="1:17" ht="15" customHeight="1">
      <c r="A125" s="70"/>
      <c r="B125" s="70"/>
      <c r="C125" s="127"/>
      <c r="D125" s="72" t="s">
        <v>734</v>
      </c>
      <c r="E125" s="389"/>
      <c r="F125" s="142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11"/>
    </row>
    <row r="126" spans="1:17" ht="15" customHeight="1">
      <c r="A126" s="70"/>
      <c r="B126" s="70"/>
      <c r="C126" s="127"/>
      <c r="D126" s="10" t="s">
        <v>694</v>
      </c>
      <c r="E126" s="10">
        <v>1</v>
      </c>
      <c r="F126" s="11">
        <v>131811</v>
      </c>
      <c r="G126" s="71">
        <f>0+'[1]táj.2'!G126</f>
        <v>0</v>
      </c>
      <c r="H126" s="71">
        <f>0+'[1]táj.2'!H126</f>
        <v>0</v>
      </c>
      <c r="I126" s="71">
        <f>0+'[1]táj.2'!I126</f>
        <v>0</v>
      </c>
      <c r="J126" s="71">
        <f>0+'[1]táj.2'!J126</f>
        <v>0</v>
      </c>
      <c r="K126" s="71">
        <f>12000+'[1]táj.2'!K126</f>
        <v>10150</v>
      </c>
      <c r="L126" s="71">
        <f>0+'[1]táj.2'!L126</f>
        <v>0</v>
      </c>
      <c r="M126" s="71">
        <f>0+'[1]táj.2'!M126</f>
        <v>0</v>
      </c>
      <c r="N126" s="71">
        <f>0+'[1]táj.2'!N126</f>
        <v>0</v>
      </c>
      <c r="O126" s="71">
        <f>0+'[1]táj.2'!O126</f>
        <v>0</v>
      </c>
      <c r="P126" s="71">
        <f>0+'[1]táj.2'!P126</f>
        <v>0</v>
      </c>
      <c r="Q126" s="11">
        <f aca="true" t="shared" si="6" ref="Q126:Q134">SUM(G126:P126)</f>
        <v>10150</v>
      </c>
    </row>
    <row r="127" spans="1:17" ht="15" customHeight="1">
      <c r="A127" s="70"/>
      <c r="B127" s="70"/>
      <c r="C127" s="127"/>
      <c r="D127" s="10" t="s">
        <v>933</v>
      </c>
      <c r="E127" s="10">
        <v>1</v>
      </c>
      <c r="F127" s="11">
        <v>131812</v>
      </c>
      <c r="G127" s="71">
        <f>0+'[1]táj.2'!G127</f>
        <v>0</v>
      </c>
      <c r="H127" s="71">
        <f>0+'[1]táj.2'!H127</f>
        <v>0</v>
      </c>
      <c r="I127" s="71">
        <f>0+'[1]táj.2'!I127</f>
        <v>0</v>
      </c>
      <c r="J127" s="71">
        <f>0+'[1]táj.2'!J127</f>
        <v>0</v>
      </c>
      <c r="K127" s="71">
        <f>7000+'[1]táj.2'!K127</f>
        <v>7000</v>
      </c>
      <c r="L127" s="71">
        <f>0+'[1]táj.2'!L127</f>
        <v>0</v>
      </c>
      <c r="M127" s="71">
        <f>0+'[1]táj.2'!M127</f>
        <v>0</v>
      </c>
      <c r="N127" s="71">
        <f>0+'[1]táj.2'!N127</f>
        <v>0</v>
      </c>
      <c r="O127" s="71">
        <f>0+'[1]táj.2'!O127</f>
        <v>0</v>
      </c>
      <c r="P127" s="71">
        <f>0+'[1]táj.2'!P127</f>
        <v>0</v>
      </c>
      <c r="Q127" s="11">
        <f t="shared" si="6"/>
        <v>7000</v>
      </c>
    </row>
    <row r="128" spans="1:17" ht="15" customHeight="1">
      <c r="A128" s="70"/>
      <c r="B128" s="70"/>
      <c r="C128" s="127"/>
      <c r="D128" s="10" t="s">
        <v>1166</v>
      </c>
      <c r="E128" s="10">
        <v>1</v>
      </c>
      <c r="F128" s="11">
        <v>131813</v>
      </c>
      <c r="G128" s="71">
        <f>0+'[1]táj.2'!G128</f>
        <v>0</v>
      </c>
      <c r="H128" s="71">
        <f>0+'[1]táj.2'!H128</f>
        <v>0</v>
      </c>
      <c r="I128" s="71">
        <f>0+'[1]táj.2'!I128</f>
        <v>0</v>
      </c>
      <c r="J128" s="71">
        <f>0+'[1]táj.2'!J128</f>
        <v>0</v>
      </c>
      <c r="K128" s="71">
        <f>1800+'[1]táj.2'!K128</f>
        <v>1800</v>
      </c>
      <c r="L128" s="71">
        <f>0+'[1]táj.2'!L128</f>
        <v>0</v>
      </c>
      <c r="M128" s="71">
        <f>0+'[1]táj.2'!M128</f>
        <v>0</v>
      </c>
      <c r="N128" s="71">
        <f>0+'[1]táj.2'!N128</f>
        <v>0</v>
      </c>
      <c r="O128" s="71">
        <f>0+'[1]táj.2'!O128</f>
        <v>0</v>
      </c>
      <c r="P128" s="71">
        <f>0+'[1]táj.2'!P128</f>
        <v>0</v>
      </c>
      <c r="Q128" s="11">
        <f t="shared" si="6"/>
        <v>1800</v>
      </c>
    </row>
    <row r="129" spans="1:17" ht="15" customHeight="1">
      <c r="A129" s="70"/>
      <c r="B129" s="70"/>
      <c r="C129" s="127"/>
      <c r="D129" s="10" t="s">
        <v>1198</v>
      </c>
      <c r="E129" s="10">
        <v>1</v>
      </c>
      <c r="F129" s="11">
        <v>131816</v>
      </c>
      <c r="G129" s="71">
        <f>0+'[1]táj.2'!G129</f>
        <v>0</v>
      </c>
      <c r="H129" s="71">
        <f>0+'[1]táj.2'!H129</f>
        <v>0</v>
      </c>
      <c r="I129" s="71">
        <f>0+'[1]táj.2'!I129</f>
        <v>0</v>
      </c>
      <c r="J129" s="71">
        <f>0+'[1]táj.2'!J129</f>
        <v>0</v>
      </c>
      <c r="K129" s="71">
        <f>1400+'[1]táj.2'!K129</f>
        <v>1400</v>
      </c>
      <c r="L129" s="71">
        <f>0+'[1]táj.2'!L129</f>
        <v>0</v>
      </c>
      <c r="M129" s="71">
        <f>0+'[1]táj.2'!M129</f>
        <v>0</v>
      </c>
      <c r="N129" s="71">
        <f>0+'[1]táj.2'!N129</f>
        <v>0</v>
      </c>
      <c r="O129" s="71">
        <f>0+'[1]táj.2'!O129</f>
        <v>0</v>
      </c>
      <c r="P129" s="71">
        <f>0+'[1]táj.2'!P129</f>
        <v>0</v>
      </c>
      <c r="Q129" s="11">
        <f t="shared" si="6"/>
        <v>1400</v>
      </c>
    </row>
    <row r="130" spans="1:17" ht="15" customHeight="1">
      <c r="A130" s="70"/>
      <c r="B130" s="70"/>
      <c r="C130" s="127"/>
      <c r="D130" s="10" t="s">
        <v>175</v>
      </c>
      <c r="E130" s="10">
        <v>1</v>
      </c>
      <c r="F130" s="11">
        <v>131817</v>
      </c>
      <c r="G130" s="71">
        <f>0+'[1]táj.2'!G130</f>
        <v>0</v>
      </c>
      <c r="H130" s="71">
        <f>0+'[1]táj.2'!H130</f>
        <v>0</v>
      </c>
      <c r="I130" s="71">
        <f>0+'[1]táj.2'!I130</f>
        <v>0</v>
      </c>
      <c r="J130" s="71">
        <f>0+'[1]táj.2'!J130</f>
        <v>0</v>
      </c>
      <c r="K130" s="71">
        <f>990+'[1]táj.2'!K130</f>
        <v>990</v>
      </c>
      <c r="L130" s="71">
        <f>0+'[1]táj.2'!L130</f>
        <v>0</v>
      </c>
      <c r="M130" s="71">
        <f>0+'[1]táj.2'!M130</f>
        <v>0</v>
      </c>
      <c r="N130" s="71">
        <f>0+'[1]táj.2'!N130</f>
        <v>0</v>
      </c>
      <c r="O130" s="71">
        <f>0+'[1]táj.2'!O130</f>
        <v>0</v>
      </c>
      <c r="P130" s="71">
        <f>0+'[1]táj.2'!P130</f>
        <v>0</v>
      </c>
      <c r="Q130" s="11">
        <f t="shared" si="6"/>
        <v>990</v>
      </c>
    </row>
    <row r="131" spans="1:17" ht="15" customHeight="1">
      <c r="A131" s="70"/>
      <c r="B131" s="70"/>
      <c r="C131" s="127"/>
      <c r="D131" s="10" t="s">
        <v>176</v>
      </c>
      <c r="E131" s="10">
        <v>1</v>
      </c>
      <c r="F131" s="11">
        <v>131818</v>
      </c>
      <c r="G131" s="71">
        <f>0+'[1]táj.2'!G131</f>
        <v>0</v>
      </c>
      <c r="H131" s="71">
        <f>0+'[1]táj.2'!H131</f>
        <v>0</v>
      </c>
      <c r="I131" s="71">
        <f>0+'[1]táj.2'!I131</f>
        <v>0</v>
      </c>
      <c r="J131" s="71">
        <f>0+'[1]táj.2'!J131</f>
        <v>0</v>
      </c>
      <c r="K131" s="71">
        <f>400+'[1]táj.2'!K131</f>
        <v>400</v>
      </c>
      <c r="L131" s="71">
        <f>0+'[1]táj.2'!L131</f>
        <v>0</v>
      </c>
      <c r="M131" s="71">
        <f>0+'[1]táj.2'!M131</f>
        <v>0</v>
      </c>
      <c r="N131" s="71">
        <f>0+'[1]táj.2'!N131</f>
        <v>0</v>
      </c>
      <c r="O131" s="71">
        <f>0+'[1]táj.2'!O131</f>
        <v>0</v>
      </c>
      <c r="P131" s="71">
        <f>0+'[1]táj.2'!P131</f>
        <v>0</v>
      </c>
      <c r="Q131" s="11">
        <f t="shared" si="6"/>
        <v>400</v>
      </c>
    </row>
    <row r="132" spans="1:17" ht="15" customHeight="1">
      <c r="A132" s="70"/>
      <c r="B132" s="70"/>
      <c r="C132" s="127"/>
      <c r="D132" s="10" t="s">
        <v>606</v>
      </c>
      <c r="E132" s="10">
        <v>1</v>
      </c>
      <c r="F132" s="11">
        <v>131819</v>
      </c>
      <c r="G132" s="71">
        <f>0+'[1]táj.2'!G132</f>
        <v>0</v>
      </c>
      <c r="H132" s="71">
        <f>0+'[1]táj.2'!H132</f>
        <v>0</v>
      </c>
      <c r="I132" s="71">
        <f>0+'[1]táj.2'!I132</f>
        <v>0</v>
      </c>
      <c r="J132" s="71">
        <f>0+'[1]táj.2'!J132</f>
        <v>0</v>
      </c>
      <c r="K132" s="71">
        <f>400+'[1]táj.2'!K132</f>
        <v>400</v>
      </c>
      <c r="L132" s="71">
        <f>0+'[1]táj.2'!L132</f>
        <v>0</v>
      </c>
      <c r="M132" s="71">
        <f>0+'[1]táj.2'!M132</f>
        <v>0</v>
      </c>
      <c r="N132" s="71">
        <f>0+'[1]táj.2'!N132</f>
        <v>0</v>
      </c>
      <c r="O132" s="71">
        <f>0+'[1]táj.2'!O132</f>
        <v>0</v>
      </c>
      <c r="P132" s="71">
        <f>0+'[1]táj.2'!P132</f>
        <v>0</v>
      </c>
      <c r="Q132" s="11">
        <f t="shared" si="6"/>
        <v>400</v>
      </c>
    </row>
    <row r="133" spans="1:17" ht="15" customHeight="1">
      <c r="A133" s="70"/>
      <c r="B133" s="70"/>
      <c r="C133" s="127"/>
      <c r="D133" s="10" t="s">
        <v>715</v>
      </c>
      <c r="E133" s="10">
        <v>1</v>
      </c>
      <c r="F133" s="11">
        <v>131832</v>
      </c>
      <c r="G133" s="71">
        <f>0+'[1]táj.2'!G133</f>
        <v>0</v>
      </c>
      <c r="H133" s="71">
        <f>0+'[1]táj.2'!H133</f>
        <v>0</v>
      </c>
      <c r="I133" s="71">
        <f>0+'[1]táj.2'!I133</f>
        <v>0</v>
      </c>
      <c r="J133" s="71">
        <f>0+'[1]táj.2'!J133</f>
        <v>0</v>
      </c>
      <c r="K133" s="71">
        <f>225+'[1]táj.2'!K133</f>
        <v>225</v>
      </c>
      <c r="L133" s="71">
        <f>0+'[1]táj.2'!L133</f>
        <v>0</v>
      </c>
      <c r="M133" s="71">
        <f>0+'[1]táj.2'!M133</f>
        <v>0</v>
      </c>
      <c r="N133" s="71">
        <f>0+'[1]táj.2'!N133</f>
        <v>0</v>
      </c>
      <c r="O133" s="71">
        <f>0+'[1]táj.2'!O133</f>
        <v>0</v>
      </c>
      <c r="P133" s="71">
        <f>0+'[1]táj.2'!P133</f>
        <v>0</v>
      </c>
      <c r="Q133" s="11">
        <f t="shared" si="6"/>
        <v>225</v>
      </c>
    </row>
    <row r="134" spans="1:17" ht="15" customHeight="1">
      <c r="A134" s="70"/>
      <c r="B134" s="70"/>
      <c r="C134" s="127"/>
      <c r="D134" s="10" t="s">
        <v>374</v>
      </c>
      <c r="E134" s="10">
        <v>1</v>
      </c>
      <c r="F134" s="11">
        <v>131820</v>
      </c>
      <c r="G134" s="71">
        <f>100+'[1]táj.2'!G134</f>
        <v>100</v>
      </c>
      <c r="H134" s="71">
        <f>40+'[1]táj.2'!H134</f>
        <v>40</v>
      </c>
      <c r="I134" s="71">
        <f>300+'[1]táj.2'!I134</f>
        <v>300</v>
      </c>
      <c r="J134" s="71">
        <f>0+'[1]táj.2'!J134</f>
        <v>0</v>
      </c>
      <c r="K134" s="71">
        <f>1560+'[1]táj.2'!K134</f>
        <v>1912</v>
      </c>
      <c r="L134" s="71">
        <f>0+'[1]táj.2'!L134</f>
        <v>0</v>
      </c>
      <c r="M134" s="71">
        <f>0+'[1]táj.2'!M134</f>
        <v>0</v>
      </c>
      <c r="N134" s="71">
        <f>0+'[1]táj.2'!N134</f>
        <v>98</v>
      </c>
      <c r="O134" s="71">
        <f>0+'[1]táj.2'!O134</f>
        <v>0</v>
      </c>
      <c r="P134" s="71">
        <f>0+'[1]táj.2'!P134</f>
        <v>0</v>
      </c>
      <c r="Q134" s="11">
        <f t="shared" si="6"/>
        <v>2450</v>
      </c>
    </row>
    <row r="135" spans="1:17" ht="15" customHeight="1">
      <c r="A135" s="70"/>
      <c r="B135" s="70"/>
      <c r="C135" s="127"/>
      <c r="D135" s="10" t="s">
        <v>911</v>
      </c>
      <c r="E135" s="10"/>
      <c r="F135" s="1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11"/>
    </row>
    <row r="136" spans="1:17" ht="15" customHeight="1">
      <c r="A136" s="70"/>
      <c r="B136" s="70"/>
      <c r="C136" s="127"/>
      <c r="D136" s="10" t="s">
        <v>173</v>
      </c>
      <c r="E136" s="389">
        <v>2</v>
      </c>
      <c r="F136" s="11">
        <v>131821</v>
      </c>
      <c r="G136" s="71">
        <f>0+'[1]táj.2'!G136</f>
        <v>0</v>
      </c>
      <c r="H136" s="71">
        <f>0+'[1]táj.2'!H136</f>
        <v>0</v>
      </c>
      <c r="I136" s="71">
        <f>0+'[1]táj.2'!I136</f>
        <v>0</v>
      </c>
      <c r="J136" s="71">
        <f>0+'[1]táj.2'!J136</f>
        <v>0</v>
      </c>
      <c r="K136" s="71">
        <f>7000+'[1]táj.2'!K136</f>
        <v>6500</v>
      </c>
      <c r="L136" s="71">
        <f>0+'[1]táj.2'!L136</f>
        <v>0</v>
      </c>
      <c r="M136" s="71">
        <f>0+'[1]táj.2'!M136</f>
        <v>0</v>
      </c>
      <c r="N136" s="71">
        <f>0+'[1]táj.2'!N136</f>
        <v>0</v>
      </c>
      <c r="O136" s="71">
        <f>0+'[1]táj.2'!O136</f>
        <v>0</v>
      </c>
      <c r="P136" s="71">
        <f>0+'[1]táj.2'!P136</f>
        <v>0</v>
      </c>
      <c r="Q136" s="11">
        <f aca="true" t="shared" si="7" ref="Q136:Q160">SUM(G136:P136)</f>
        <v>6500</v>
      </c>
    </row>
    <row r="137" spans="1:17" ht="15" customHeight="1">
      <c r="A137" s="70"/>
      <c r="B137" s="70"/>
      <c r="C137" s="127"/>
      <c r="D137" s="10" t="s">
        <v>174</v>
      </c>
      <c r="E137" s="389">
        <v>2</v>
      </c>
      <c r="F137" s="11">
        <v>131822</v>
      </c>
      <c r="G137" s="71">
        <f>0+'[1]táj.2'!G137</f>
        <v>0</v>
      </c>
      <c r="H137" s="71">
        <f>0+'[1]táj.2'!H137</f>
        <v>0</v>
      </c>
      <c r="I137" s="71">
        <f>0+'[1]táj.2'!I137</f>
        <v>0</v>
      </c>
      <c r="J137" s="71">
        <f>0+'[1]táj.2'!J137</f>
        <v>0</v>
      </c>
      <c r="K137" s="71">
        <f>450+'[1]táj.2'!K137</f>
        <v>450</v>
      </c>
      <c r="L137" s="71">
        <f>0+'[1]táj.2'!L137</f>
        <v>0</v>
      </c>
      <c r="M137" s="71">
        <f>0+'[1]táj.2'!M137</f>
        <v>0</v>
      </c>
      <c r="N137" s="71">
        <f>0+'[1]táj.2'!N137</f>
        <v>0</v>
      </c>
      <c r="O137" s="71">
        <f>0+'[1]táj.2'!O137</f>
        <v>0</v>
      </c>
      <c r="P137" s="71">
        <f>0+'[1]táj.2'!P137</f>
        <v>0</v>
      </c>
      <c r="Q137" s="11">
        <f t="shared" si="7"/>
        <v>450</v>
      </c>
    </row>
    <row r="138" spans="1:17" ht="15" customHeight="1">
      <c r="A138" s="70"/>
      <c r="B138" s="70"/>
      <c r="C138" s="127"/>
      <c r="D138" s="121" t="s">
        <v>659</v>
      </c>
      <c r="E138" s="405">
        <v>2</v>
      </c>
      <c r="F138" s="11">
        <v>131823</v>
      </c>
      <c r="G138" s="71">
        <f>0+'[1]táj.2'!G138</f>
        <v>0</v>
      </c>
      <c r="H138" s="71">
        <f>0+'[1]táj.2'!H138</f>
        <v>0</v>
      </c>
      <c r="I138" s="71">
        <f>0+'[1]táj.2'!I138</f>
        <v>0</v>
      </c>
      <c r="J138" s="71">
        <f>0+'[1]táj.2'!J138</f>
        <v>0</v>
      </c>
      <c r="K138" s="71">
        <f>25000+'[1]táj.2'!K138</f>
        <v>26350</v>
      </c>
      <c r="L138" s="71">
        <f>0+'[1]táj.2'!L138</f>
        <v>0</v>
      </c>
      <c r="M138" s="71">
        <f>0+'[1]táj.2'!M138</f>
        <v>0</v>
      </c>
      <c r="N138" s="71">
        <f>0+'[1]táj.2'!N138</f>
        <v>0</v>
      </c>
      <c r="O138" s="71">
        <f>0+'[1]táj.2'!O138</f>
        <v>0</v>
      </c>
      <c r="P138" s="71">
        <f>0+'[1]táj.2'!P138</f>
        <v>0</v>
      </c>
      <c r="Q138" s="11">
        <f t="shared" si="7"/>
        <v>26350</v>
      </c>
    </row>
    <row r="139" spans="1:17" ht="15" customHeight="1">
      <c r="A139" s="70"/>
      <c r="B139" s="70"/>
      <c r="C139" s="127"/>
      <c r="D139" s="121" t="s">
        <v>674</v>
      </c>
      <c r="E139" s="406">
        <v>2</v>
      </c>
      <c r="F139" s="11">
        <v>131824</v>
      </c>
      <c r="G139" s="71">
        <f>0+'[1]táj.2'!G139</f>
        <v>0</v>
      </c>
      <c r="H139" s="71">
        <f>0+'[1]táj.2'!H139</f>
        <v>0</v>
      </c>
      <c r="I139" s="71">
        <f>0+'[1]táj.2'!I139</f>
        <v>0</v>
      </c>
      <c r="J139" s="71">
        <f>0+'[1]táj.2'!J139</f>
        <v>0</v>
      </c>
      <c r="K139" s="71">
        <f>2250+'[1]táj.2'!K139</f>
        <v>2250</v>
      </c>
      <c r="L139" s="71">
        <f>0+'[1]táj.2'!L139</f>
        <v>0</v>
      </c>
      <c r="M139" s="71">
        <f>0+'[1]táj.2'!M139</f>
        <v>0</v>
      </c>
      <c r="N139" s="71">
        <f>0+'[1]táj.2'!N139</f>
        <v>0</v>
      </c>
      <c r="O139" s="71">
        <f>0+'[1]táj.2'!O139</f>
        <v>0</v>
      </c>
      <c r="P139" s="71">
        <f>0+'[1]táj.2'!P139</f>
        <v>0</v>
      </c>
      <c r="Q139" s="11">
        <f t="shared" si="7"/>
        <v>2250</v>
      </c>
    </row>
    <row r="140" spans="1:17" ht="15" customHeight="1">
      <c r="A140" s="70"/>
      <c r="B140" s="70"/>
      <c r="C140" s="127"/>
      <c r="D140" s="121" t="s">
        <v>716</v>
      </c>
      <c r="E140" s="406">
        <v>2</v>
      </c>
      <c r="F140" s="284">
        <v>131833</v>
      </c>
      <c r="G140" s="71">
        <f>0+'[1]táj.2'!G140</f>
        <v>0</v>
      </c>
      <c r="H140" s="71">
        <f>0+'[1]táj.2'!H140</f>
        <v>0</v>
      </c>
      <c r="I140" s="71">
        <f>0+'[1]táj.2'!I140</f>
        <v>0</v>
      </c>
      <c r="J140" s="71">
        <f>0+'[1]táj.2'!J140</f>
        <v>0</v>
      </c>
      <c r="K140" s="71">
        <f>2700+'[1]táj.2'!K140</f>
        <v>2700</v>
      </c>
      <c r="L140" s="71">
        <f>0+'[1]táj.2'!L140</f>
        <v>0</v>
      </c>
      <c r="M140" s="71">
        <f>0+'[1]táj.2'!M140</f>
        <v>0</v>
      </c>
      <c r="N140" s="71">
        <f>0+'[1]táj.2'!N140</f>
        <v>0</v>
      </c>
      <c r="O140" s="71">
        <f>0+'[1]táj.2'!O140</f>
        <v>0</v>
      </c>
      <c r="P140" s="71">
        <f>0+'[1]táj.2'!P140</f>
        <v>0</v>
      </c>
      <c r="Q140" s="11">
        <f t="shared" si="7"/>
        <v>2700</v>
      </c>
    </row>
    <row r="141" spans="1:17" ht="15" customHeight="1">
      <c r="A141" s="70"/>
      <c r="B141" s="70"/>
      <c r="C141" s="127"/>
      <c r="D141" s="121" t="s">
        <v>675</v>
      </c>
      <c r="E141" s="406">
        <v>2</v>
      </c>
      <c r="F141" s="284">
        <v>131834</v>
      </c>
      <c r="G141" s="71">
        <f>0+'[1]táj.2'!G141</f>
        <v>0</v>
      </c>
      <c r="H141" s="71">
        <f>0+'[1]táj.2'!H141</f>
        <v>0</v>
      </c>
      <c r="I141" s="71">
        <f>0+'[1]táj.2'!I141</f>
        <v>0</v>
      </c>
      <c r="J141" s="71">
        <f>0+'[1]táj.2'!J141</f>
        <v>0</v>
      </c>
      <c r="K141" s="71">
        <f>3600+'[1]táj.2'!K141</f>
        <v>3600</v>
      </c>
      <c r="L141" s="71">
        <f>0+'[1]táj.2'!L141</f>
        <v>0</v>
      </c>
      <c r="M141" s="71">
        <f>0+'[1]táj.2'!M141</f>
        <v>0</v>
      </c>
      <c r="N141" s="71">
        <f>0+'[1]táj.2'!N141</f>
        <v>0</v>
      </c>
      <c r="O141" s="71">
        <f>0+'[1]táj.2'!O141</f>
        <v>0</v>
      </c>
      <c r="P141" s="71">
        <f>0+'[1]táj.2'!P141</f>
        <v>0</v>
      </c>
      <c r="Q141" s="11">
        <f t="shared" si="7"/>
        <v>3600</v>
      </c>
    </row>
    <row r="142" spans="1:17" ht="15" customHeight="1">
      <c r="A142" s="70"/>
      <c r="B142" s="70"/>
      <c r="C142" s="127"/>
      <c r="D142" s="121" t="s">
        <v>146</v>
      </c>
      <c r="E142" s="406">
        <v>2</v>
      </c>
      <c r="F142" s="284">
        <v>131836</v>
      </c>
      <c r="G142" s="71">
        <f>0+'[1]táj.2'!G142</f>
        <v>0</v>
      </c>
      <c r="H142" s="71">
        <f>0+'[1]táj.2'!H142</f>
        <v>0</v>
      </c>
      <c r="I142" s="71">
        <f>0+'[1]táj.2'!I142</f>
        <v>0</v>
      </c>
      <c r="J142" s="71">
        <f>0+'[1]táj.2'!J142</f>
        <v>0</v>
      </c>
      <c r="K142" s="71">
        <f>9000+'[1]táj.2'!K142</f>
        <v>9000</v>
      </c>
      <c r="L142" s="71">
        <f>0+'[1]táj.2'!L142</f>
        <v>0</v>
      </c>
      <c r="M142" s="71">
        <f>0+'[1]táj.2'!M142</f>
        <v>0</v>
      </c>
      <c r="N142" s="71">
        <f>0+'[1]táj.2'!N142</f>
        <v>0</v>
      </c>
      <c r="O142" s="71">
        <f>0+'[1]táj.2'!O142</f>
        <v>0</v>
      </c>
      <c r="P142" s="71">
        <f>0+'[1]táj.2'!P142</f>
        <v>0</v>
      </c>
      <c r="Q142" s="11">
        <f t="shared" si="7"/>
        <v>9000</v>
      </c>
    </row>
    <row r="143" spans="1:17" ht="15" customHeight="1">
      <c r="A143" s="70"/>
      <c r="B143" s="70"/>
      <c r="C143" s="127"/>
      <c r="D143" s="121" t="s">
        <v>1199</v>
      </c>
      <c r="E143" s="406">
        <v>2</v>
      </c>
      <c r="F143" s="284">
        <v>131837</v>
      </c>
      <c r="G143" s="71">
        <f>0+'[1]táj.2'!G143</f>
        <v>0</v>
      </c>
      <c r="H143" s="71">
        <f>0+'[1]táj.2'!H143</f>
        <v>0</v>
      </c>
      <c r="I143" s="71">
        <f>0+'[1]táj.2'!I143</f>
        <v>0</v>
      </c>
      <c r="J143" s="71">
        <f>0+'[1]táj.2'!J143</f>
        <v>0</v>
      </c>
      <c r="K143" s="71">
        <f>8000+'[1]táj.2'!K143</f>
        <v>8000</v>
      </c>
      <c r="L143" s="71">
        <f>0+'[1]táj.2'!L143</f>
        <v>0</v>
      </c>
      <c r="M143" s="71">
        <f>0+'[1]táj.2'!M143</f>
        <v>0</v>
      </c>
      <c r="N143" s="71">
        <f>0+'[1]táj.2'!N143</f>
        <v>0</v>
      </c>
      <c r="O143" s="71">
        <f>0+'[1]táj.2'!O143</f>
        <v>0</v>
      </c>
      <c r="P143" s="71">
        <f>0+'[1]táj.2'!P143</f>
        <v>0</v>
      </c>
      <c r="Q143" s="11">
        <f t="shared" si="7"/>
        <v>8000</v>
      </c>
    </row>
    <row r="144" spans="1:17" ht="15" customHeight="1">
      <c r="A144" s="70"/>
      <c r="B144" s="70"/>
      <c r="C144" s="127"/>
      <c r="D144" s="121" t="s">
        <v>42</v>
      </c>
      <c r="E144" s="406">
        <v>2</v>
      </c>
      <c r="F144" s="284">
        <v>131838</v>
      </c>
      <c r="G144" s="71">
        <f>0+'[1]táj.2'!G144</f>
        <v>0</v>
      </c>
      <c r="H144" s="71">
        <f>0+'[1]táj.2'!H144</f>
        <v>0</v>
      </c>
      <c r="I144" s="71">
        <f>0+'[1]táj.2'!I144</f>
        <v>0</v>
      </c>
      <c r="J144" s="71">
        <f>0+'[1]táj.2'!J144</f>
        <v>0</v>
      </c>
      <c r="K144" s="71">
        <f>19700+'[1]táj.2'!K144</f>
        <v>19700</v>
      </c>
      <c r="L144" s="71">
        <f>0+'[1]táj.2'!L144</f>
        <v>0</v>
      </c>
      <c r="M144" s="71">
        <f>0+'[1]táj.2'!M144</f>
        <v>0</v>
      </c>
      <c r="N144" s="71">
        <f>0+'[1]táj.2'!N144</f>
        <v>0</v>
      </c>
      <c r="O144" s="71">
        <f>0+'[1]táj.2'!O144</f>
        <v>0</v>
      </c>
      <c r="P144" s="71">
        <f>0+'[1]táj.2'!P144</f>
        <v>0</v>
      </c>
      <c r="Q144" s="11">
        <f t="shared" si="7"/>
        <v>19700</v>
      </c>
    </row>
    <row r="145" spans="1:17" ht="15" customHeight="1">
      <c r="A145" s="70"/>
      <c r="B145" s="70"/>
      <c r="C145" s="127"/>
      <c r="D145" s="121" t="s">
        <v>240</v>
      </c>
      <c r="E145" s="406">
        <v>2</v>
      </c>
      <c r="F145" s="284">
        <v>131840</v>
      </c>
      <c r="G145" s="71">
        <f>0+'[1]táj.2'!G145</f>
        <v>0</v>
      </c>
      <c r="H145" s="71">
        <f>0+'[1]táj.2'!H145</f>
        <v>0</v>
      </c>
      <c r="I145" s="71">
        <f>0+'[1]táj.2'!I145</f>
        <v>0</v>
      </c>
      <c r="J145" s="71">
        <f>0+'[1]táj.2'!J145</f>
        <v>0</v>
      </c>
      <c r="K145" s="71">
        <f>1350+'[1]táj.2'!K145</f>
        <v>1350</v>
      </c>
      <c r="L145" s="71">
        <f>0+'[1]táj.2'!L145</f>
        <v>0</v>
      </c>
      <c r="M145" s="71">
        <f>0+'[1]táj.2'!M145</f>
        <v>0</v>
      </c>
      <c r="N145" s="71">
        <f>0+'[1]táj.2'!N145</f>
        <v>0</v>
      </c>
      <c r="O145" s="71">
        <f>0+'[1]táj.2'!O145</f>
        <v>0</v>
      </c>
      <c r="P145" s="71">
        <f>0+'[1]táj.2'!P145</f>
        <v>0</v>
      </c>
      <c r="Q145" s="11">
        <f t="shared" si="7"/>
        <v>1350</v>
      </c>
    </row>
    <row r="146" spans="1:17" ht="15" customHeight="1">
      <c r="A146" s="70"/>
      <c r="B146" s="70"/>
      <c r="C146" s="127"/>
      <c r="D146" s="121" t="s">
        <v>241</v>
      </c>
      <c r="E146" s="406">
        <v>2</v>
      </c>
      <c r="F146" s="284">
        <v>131841</v>
      </c>
      <c r="G146" s="71">
        <f>0+'[1]táj.2'!G146</f>
        <v>0</v>
      </c>
      <c r="H146" s="71">
        <f>0+'[1]táj.2'!H146</f>
        <v>0</v>
      </c>
      <c r="I146" s="71">
        <f>0+'[1]táj.2'!I146</f>
        <v>0</v>
      </c>
      <c r="J146" s="71">
        <f>0+'[1]táj.2'!J146</f>
        <v>0</v>
      </c>
      <c r="K146" s="71">
        <f>450+'[1]táj.2'!K146</f>
        <v>450</v>
      </c>
      <c r="L146" s="71">
        <f>0+'[1]táj.2'!L146</f>
        <v>0</v>
      </c>
      <c r="M146" s="71">
        <f>0+'[1]táj.2'!M146</f>
        <v>0</v>
      </c>
      <c r="N146" s="71">
        <f>0+'[1]táj.2'!N146</f>
        <v>0</v>
      </c>
      <c r="O146" s="71">
        <f>0+'[1]táj.2'!O146</f>
        <v>0</v>
      </c>
      <c r="P146" s="71">
        <f>0+'[1]táj.2'!P146</f>
        <v>0</v>
      </c>
      <c r="Q146" s="11">
        <f t="shared" si="7"/>
        <v>450</v>
      </c>
    </row>
    <row r="147" spans="1:17" ht="15" customHeight="1">
      <c r="A147" s="70"/>
      <c r="B147" s="70"/>
      <c r="C147" s="127"/>
      <c r="D147" s="121" t="s">
        <v>239</v>
      </c>
      <c r="E147" s="406">
        <v>2</v>
      </c>
      <c r="F147" s="284">
        <v>131842</v>
      </c>
      <c r="G147" s="71">
        <f>0+'[1]táj.2'!G147</f>
        <v>0</v>
      </c>
      <c r="H147" s="71">
        <f>0+'[1]táj.2'!H147</f>
        <v>0</v>
      </c>
      <c r="I147" s="71">
        <f>0+'[1]táj.2'!I147</f>
        <v>0</v>
      </c>
      <c r="J147" s="71">
        <f>0+'[1]táj.2'!J147</f>
        <v>0</v>
      </c>
      <c r="K147" s="71">
        <f>1000+'[1]táj.2'!K147</f>
        <v>1000</v>
      </c>
      <c r="L147" s="71">
        <f>0+'[1]táj.2'!L147</f>
        <v>0</v>
      </c>
      <c r="M147" s="71">
        <f>0+'[1]táj.2'!M147</f>
        <v>0</v>
      </c>
      <c r="N147" s="71">
        <f>0+'[1]táj.2'!N147</f>
        <v>0</v>
      </c>
      <c r="O147" s="71">
        <f>0+'[1]táj.2'!O147</f>
        <v>0</v>
      </c>
      <c r="P147" s="71">
        <f>0+'[1]táj.2'!P147</f>
        <v>0</v>
      </c>
      <c r="Q147" s="11">
        <f t="shared" si="7"/>
        <v>1000</v>
      </c>
    </row>
    <row r="148" spans="1:17" ht="15" customHeight="1">
      <c r="A148" s="70"/>
      <c r="B148" s="70"/>
      <c r="C148" s="127"/>
      <c r="D148" s="121" t="s">
        <v>107</v>
      </c>
      <c r="E148" s="406">
        <v>2</v>
      </c>
      <c r="F148" s="284">
        <v>131843</v>
      </c>
      <c r="G148" s="71">
        <f>0+'[1]táj.2'!G148</f>
        <v>0</v>
      </c>
      <c r="H148" s="71">
        <f>0+'[1]táj.2'!H148</f>
        <v>0</v>
      </c>
      <c r="I148" s="71">
        <f>0+'[1]táj.2'!I148</f>
        <v>0</v>
      </c>
      <c r="J148" s="71">
        <f>0+'[1]táj.2'!J148</f>
        <v>0</v>
      </c>
      <c r="K148" s="71">
        <f>2250+'[1]táj.2'!K148</f>
        <v>2250</v>
      </c>
      <c r="L148" s="71">
        <f>0+'[1]táj.2'!L148</f>
        <v>0</v>
      </c>
      <c r="M148" s="71">
        <f>0+'[1]táj.2'!M148</f>
        <v>0</v>
      </c>
      <c r="N148" s="71">
        <f>0+'[1]táj.2'!N148</f>
        <v>0</v>
      </c>
      <c r="O148" s="71">
        <f>0+'[1]táj.2'!O148</f>
        <v>0</v>
      </c>
      <c r="P148" s="71">
        <f>0+'[1]táj.2'!P148</f>
        <v>0</v>
      </c>
      <c r="Q148" s="11">
        <f t="shared" si="7"/>
        <v>2250</v>
      </c>
    </row>
    <row r="149" spans="1:17" ht="15" customHeight="1">
      <c r="A149" s="70"/>
      <c r="B149" s="70"/>
      <c r="C149" s="70"/>
      <c r="D149" s="11" t="s">
        <v>1074</v>
      </c>
      <c r="E149" s="406">
        <v>2</v>
      </c>
      <c r="F149" s="284">
        <v>131847</v>
      </c>
      <c r="G149" s="71">
        <f>0+'[1]táj.2'!G149</f>
        <v>0</v>
      </c>
      <c r="H149" s="71">
        <f>0+'[1]táj.2'!H149</f>
        <v>0</v>
      </c>
      <c r="I149" s="71">
        <f>0+'[1]táj.2'!I149</f>
        <v>0</v>
      </c>
      <c r="J149" s="71">
        <f>0+'[1]táj.2'!J149</f>
        <v>0</v>
      </c>
      <c r="K149" s="71">
        <f>2500+'[1]táj.2'!K149</f>
        <v>2500</v>
      </c>
      <c r="L149" s="71">
        <f>0+'[1]táj.2'!L149</f>
        <v>0</v>
      </c>
      <c r="M149" s="71">
        <f>0+'[1]táj.2'!M149</f>
        <v>0</v>
      </c>
      <c r="N149" s="71">
        <f>0+'[1]táj.2'!N149</f>
        <v>0</v>
      </c>
      <c r="O149" s="71">
        <f>0+'[1]táj.2'!O149</f>
        <v>0</v>
      </c>
      <c r="P149" s="71">
        <f>0+'[1]táj.2'!P149</f>
        <v>0</v>
      </c>
      <c r="Q149" s="11">
        <f t="shared" si="7"/>
        <v>2500</v>
      </c>
    </row>
    <row r="150" spans="1:17" ht="15" customHeight="1">
      <c r="A150" s="70"/>
      <c r="B150" s="70"/>
      <c r="C150" s="70"/>
      <c r="D150" s="145" t="s">
        <v>1075</v>
      </c>
      <c r="E150" s="406">
        <v>2</v>
      </c>
      <c r="F150" s="284">
        <v>131848</v>
      </c>
      <c r="G150" s="71">
        <f>0+'[1]táj.2'!G150</f>
        <v>0</v>
      </c>
      <c r="H150" s="71">
        <f>0+'[1]táj.2'!H150</f>
        <v>0</v>
      </c>
      <c r="I150" s="71">
        <f>0+'[1]táj.2'!I150</f>
        <v>0</v>
      </c>
      <c r="J150" s="71">
        <f>0+'[1]táj.2'!J150</f>
        <v>0</v>
      </c>
      <c r="K150" s="71">
        <f>450+'[1]táj.2'!K150</f>
        <v>450</v>
      </c>
      <c r="L150" s="71">
        <f>0+'[1]táj.2'!L150</f>
        <v>0</v>
      </c>
      <c r="M150" s="71">
        <f>0+'[1]táj.2'!M150</f>
        <v>0</v>
      </c>
      <c r="N150" s="71">
        <f>0+'[1]táj.2'!N150</f>
        <v>0</v>
      </c>
      <c r="O150" s="71">
        <f>0+'[1]táj.2'!O150</f>
        <v>0</v>
      </c>
      <c r="P150" s="71">
        <f>0+'[1]táj.2'!P150</f>
        <v>0</v>
      </c>
      <c r="Q150" s="11">
        <f t="shared" si="7"/>
        <v>450</v>
      </c>
    </row>
    <row r="151" spans="1:17" ht="15" customHeight="1">
      <c r="A151" s="70"/>
      <c r="B151" s="70"/>
      <c r="C151" s="70"/>
      <c r="D151" s="145" t="s">
        <v>1076</v>
      </c>
      <c r="E151" s="406">
        <v>2</v>
      </c>
      <c r="F151" s="284">
        <v>131850</v>
      </c>
      <c r="G151" s="71">
        <f>0+'[1]táj.2'!G151</f>
        <v>0</v>
      </c>
      <c r="H151" s="71">
        <f>0+'[1]táj.2'!H151</f>
        <v>0</v>
      </c>
      <c r="I151" s="71">
        <f>0+'[1]táj.2'!I151</f>
        <v>0</v>
      </c>
      <c r="J151" s="71">
        <f>0+'[1]táj.2'!J151</f>
        <v>0</v>
      </c>
      <c r="K151" s="71">
        <f>900+'[1]táj.2'!K151</f>
        <v>900</v>
      </c>
      <c r="L151" s="71">
        <f>0+'[1]táj.2'!L151</f>
        <v>0</v>
      </c>
      <c r="M151" s="71">
        <f>0+'[1]táj.2'!M151</f>
        <v>0</v>
      </c>
      <c r="N151" s="71">
        <f>0+'[1]táj.2'!N151</f>
        <v>0</v>
      </c>
      <c r="O151" s="71">
        <f>0+'[1]táj.2'!O151</f>
        <v>0</v>
      </c>
      <c r="P151" s="71">
        <f>0+'[1]táj.2'!P151</f>
        <v>0</v>
      </c>
      <c r="Q151" s="11">
        <f t="shared" si="7"/>
        <v>900</v>
      </c>
    </row>
    <row r="152" spans="1:17" ht="15" customHeight="1">
      <c r="A152" s="70"/>
      <c r="B152" s="70"/>
      <c r="C152" s="70"/>
      <c r="D152" s="145" t="s">
        <v>1149</v>
      </c>
      <c r="E152" s="406">
        <v>2</v>
      </c>
      <c r="F152" s="284">
        <v>131851</v>
      </c>
      <c r="G152" s="71">
        <f>0+'[1]táj.2'!G152</f>
        <v>0</v>
      </c>
      <c r="H152" s="71">
        <f>0+'[1]táj.2'!H152</f>
        <v>0</v>
      </c>
      <c r="I152" s="71">
        <f>0+'[1]táj.2'!I152</f>
        <v>0</v>
      </c>
      <c r="J152" s="71">
        <f>0+'[1]táj.2'!J152</f>
        <v>0</v>
      </c>
      <c r="K152" s="71">
        <f>720+'[1]táj.2'!K152</f>
        <v>720</v>
      </c>
      <c r="L152" s="71">
        <f>0+'[1]táj.2'!L152</f>
        <v>0</v>
      </c>
      <c r="M152" s="71">
        <f>0+'[1]táj.2'!M152</f>
        <v>0</v>
      </c>
      <c r="N152" s="71">
        <f>0+'[1]táj.2'!N152</f>
        <v>0</v>
      </c>
      <c r="O152" s="71">
        <f>0+'[1]táj.2'!O152</f>
        <v>0</v>
      </c>
      <c r="P152" s="71">
        <f>0+'[1]táj.2'!P152</f>
        <v>0</v>
      </c>
      <c r="Q152" s="11">
        <f t="shared" si="7"/>
        <v>720</v>
      </c>
    </row>
    <row r="153" spans="1:17" ht="15" customHeight="1">
      <c r="A153" s="70"/>
      <c r="B153" s="70"/>
      <c r="C153" s="70"/>
      <c r="D153" s="217" t="s">
        <v>1150</v>
      </c>
      <c r="E153" s="406">
        <v>2</v>
      </c>
      <c r="F153" s="284">
        <v>131852</v>
      </c>
      <c r="G153" s="71">
        <f>0+'[1]táj.2'!G153</f>
        <v>0</v>
      </c>
      <c r="H153" s="71">
        <f>0+'[1]táj.2'!H153</f>
        <v>0</v>
      </c>
      <c r="I153" s="71">
        <f>0+'[1]táj.2'!I153</f>
        <v>0</v>
      </c>
      <c r="J153" s="71">
        <f>0+'[1]táj.2'!J153</f>
        <v>0</v>
      </c>
      <c r="K153" s="71">
        <f>4000+'[1]táj.2'!K153</f>
        <v>4000</v>
      </c>
      <c r="L153" s="71">
        <f>0+'[1]táj.2'!L153</f>
        <v>0</v>
      </c>
      <c r="M153" s="71">
        <f>0+'[1]táj.2'!M153</f>
        <v>0</v>
      </c>
      <c r="N153" s="71">
        <f>0+'[1]táj.2'!N153</f>
        <v>0</v>
      </c>
      <c r="O153" s="71">
        <f>0+'[1]táj.2'!O153</f>
        <v>0</v>
      </c>
      <c r="P153" s="71">
        <f>0+'[1]táj.2'!P153</f>
        <v>0</v>
      </c>
      <c r="Q153" s="11">
        <f t="shared" si="7"/>
        <v>4000</v>
      </c>
    </row>
    <row r="154" spans="1:17" ht="30" customHeight="1">
      <c r="A154" s="70"/>
      <c r="B154" s="70"/>
      <c r="C154" s="70"/>
      <c r="D154" s="686" t="s">
        <v>997</v>
      </c>
      <c r="E154" s="406"/>
      <c r="F154" s="29">
        <v>131853</v>
      </c>
      <c r="G154" s="71">
        <f>0+'[1]táj.2'!G154</f>
        <v>0</v>
      </c>
      <c r="H154" s="71">
        <f>0+'[1]táj.2'!H154</f>
        <v>0</v>
      </c>
      <c r="I154" s="71">
        <f>0+'[1]táj.2'!I154</f>
        <v>0</v>
      </c>
      <c r="J154" s="71">
        <f>0+'[1]táj.2'!J154</f>
        <v>0</v>
      </c>
      <c r="K154" s="71">
        <f>3000+'[1]táj.2'!K154</f>
        <v>3000</v>
      </c>
      <c r="L154" s="71">
        <f>0+'[1]táj.2'!L154</f>
        <v>0</v>
      </c>
      <c r="M154" s="71">
        <f>0+'[1]táj.2'!M154</f>
        <v>0</v>
      </c>
      <c r="N154" s="71">
        <f>0+'[1]táj.2'!N154</f>
        <v>0</v>
      </c>
      <c r="O154" s="71">
        <f>0+'[1]táj.2'!O154</f>
        <v>0</v>
      </c>
      <c r="P154" s="71">
        <f>0+'[1]táj.2'!P154</f>
        <v>0</v>
      </c>
      <c r="Q154" s="11">
        <f t="shared" si="7"/>
        <v>3000</v>
      </c>
    </row>
    <row r="155" spans="1:17" ht="15" customHeight="1">
      <c r="A155" s="70"/>
      <c r="B155" s="70"/>
      <c r="C155" s="70"/>
      <c r="D155" s="11" t="s">
        <v>247</v>
      </c>
      <c r="E155" s="406">
        <v>2</v>
      </c>
      <c r="F155" s="284">
        <v>131854</v>
      </c>
      <c r="G155" s="71">
        <f>0+'[1]táj.2'!G155</f>
        <v>0</v>
      </c>
      <c r="H155" s="71">
        <f>0+'[1]táj.2'!H155</f>
        <v>0</v>
      </c>
      <c r="I155" s="71">
        <f>6100+'[1]táj.2'!I155</f>
        <v>6100</v>
      </c>
      <c r="J155" s="71">
        <f>0+'[1]táj.2'!J155</f>
        <v>0</v>
      </c>
      <c r="K155" s="71">
        <f>9000+'[1]táj.2'!K155</f>
        <v>9000</v>
      </c>
      <c r="L155" s="71">
        <f>0+'[1]táj.2'!L155</f>
        <v>0</v>
      </c>
      <c r="M155" s="71">
        <f>0+'[1]táj.2'!M155</f>
        <v>0</v>
      </c>
      <c r="N155" s="71">
        <f>0+'[1]táj.2'!N155</f>
        <v>0</v>
      </c>
      <c r="O155" s="71">
        <f>0+'[1]táj.2'!O155</f>
        <v>0</v>
      </c>
      <c r="P155" s="71">
        <f>0+'[1]táj.2'!P155</f>
        <v>0</v>
      </c>
      <c r="Q155" s="11">
        <f t="shared" si="7"/>
        <v>15100</v>
      </c>
    </row>
    <row r="156" spans="1:17" ht="15" customHeight="1">
      <c r="A156" s="70"/>
      <c r="B156" s="70"/>
      <c r="C156" s="70"/>
      <c r="D156" s="11" t="s">
        <v>309</v>
      </c>
      <c r="E156" s="406">
        <v>2</v>
      </c>
      <c r="F156" s="284">
        <v>131856</v>
      </c>
      <c r="G156" s="71">
        <f>0+'[1]táj.2'!G156</f>
        <v>0</v>
      </c>
      <c r="H156" s="71">
        <f>0+'[1]táj.2'!H156</f>
        <v>0</v>
      </c>
      <c r="I156" s="71">
        <f>0+'[1]táj.2'!I156</f>
        <v>0</v>
      </c>
      <c r="J156" s="71">
        <f>0+'[1]táj.2'!J156</f>
        <v>0</v>
      </c>
      <c r="K156" s="71">
        <f>100+'[1]táj.2'!K156</f>
        <v>100</v>
      </c>
      <c r="L156" s="71">
        <f>0+'[1]táj.2'!L156</f>
        <v>0</v>
      </c>
      <c r="M156" s="71">
        <f>0+'[1]táj.2'!M156</f>
        <v>0</v>
      </c>
      <c r="N156" s="71">
        <f>0+'[1]táj.2'!N156</f>
        <v>0</v>
      </c>
      <c r="O156" s="71">
        <f>0+'[1]táj.2'!O156</f>
        <v>0</v>
      </c>
      <c r="P156" s="71">
        <f>0+'[1]táj.2'!P156</f>
        <v>0</v>
      </c>
      <c r="Q156" s="11">
        <f t="shared" si="7"/>
        <v>100</v>
      </c>
    </row>
    <row r="157" spans="1:17" ht="15" customHeight="1">
      <c r="A157" s="70"/>
      <c r="B157" s="70"/>
      <c r="C157" s="70"/>
      <c r="D157" s="687" t="s">
        <v>891</v>
      </c>
      <c r="E157" s="406">
        <v>2</v>
      </c>
      <c r="F157" s="284">
        <v>131859</v>
      </c>
      <c r="G157" s="71">
        <f>0+'[1]táj.2'!G157</f>
        <v>0</v>
      </c>
      <c r="H157" s="71">
        <f>0+'[1]táj.2'!H157</f>
        <v>0</v>
      </c>
      <c r="I157" s="71">
        <f>0+'[1]táj.2'!I157</f>
        <v>0</v>
      </c>
      <c r="J157" s="71">
        <f>0+'[1]táj.2'!J157</f>
        <v>0</v>
      </c>
      <c r="K157" s="71">
        <f>100+'[1]táj.2'!K157</f>
        <v>100</v>
      </c>
      <c r="L157" s="71">
        <f>0+'[1]táj.2'!L157</f>
        <v>0</v>
      </c>
      <c r="M157" s="71">
        <f>0+'[1]táj.2'!M157</f>
        <v>0</v>
      </c>
      <c r="N157" s="71">
        <f>0+'[1]táj.2'!N157</f>
        <v>0</v>
      </c>
      <c r="O157" s="71">
        <f>0+'[1]táj.2'!O157</f>
        <v>0</v>
      </c>
      <c r="P157" s="71">
        <f>0+'[1]táj.2'!P157</f>
        <v>0</v>
      </c>
      <c r="Q157" s="11">
        <f t="shared" si="7"/>
        <v>100</v>
      </c>
    </row>
    <row r="158" spans="1:17" ht="15" customHeight="1">
      <c r="A158" s="70"/>
      <c r="B158" s="70"/>
      <c r="C158" s="70"/>
      <c r="D158" s="687" t="s">
        <v>1046</v>
      </c>
      <c r="E158" s="406">
        <v>2</v>
      </c>
      <c r="F158" s="284">
        <v>131860</v>
      </c>
      <c r="G158" s="71">
        <f>0+'[1]táj.2'!G158</f>
        <v>0</v>
      </c>
      <c r="H158" s="71">
        <f>0+'[1]táj.2'!H158</f>
        <v>0</v>
      </c>
      <c r="I158" s="71">
        <f>0+'[1]táj.2'!I158</f>
        <v>0</v>
      </c>
      <c r="J158" s="71">
        <f>0+'[1]táj.2'!J158</f>
        <v>0</v>
      </c>
      <c r="K158" s="71">
        <f>100+'[1]táj.2'!K158</f>
        <v>100</v>
      </c>
      <c r="L158" s="71">
        <f>0+'[1]táj.2'!L158</f>
        <v>0</v>
      </c>
      <c r="M158" s="71">
        <f>0+'[1]táj.2'!M158</f>
        <v>0</v>
      </c>
      <c r="N158" s="71">
        <f>0+'[1]táj.2'!N158</f>
        <v>0</v>
      </c>
      <c r="O158" s="71">
        <f>0+'[1]táj.2'!O158</f>
        <v>0</v>
      </c>
      <c r="P158" s="71">
        <f>0+'[1]táj.2'!P158</f>
        <v>0</v>
      </c>
      <c r="Q158" s="11">
        <f t="shared" si="7"/>
        <v>100</v>
      </c>
    </row>
    <row r="159" spans="1:17" ht="15" customHeight="1">
      <c r="A159" s="70"/>
      <c r="B159" s="70"/>
      <c r="C159" s="70"/>
      <c r="D159" s="687" t="s">
        <v>892</v>
      </c>
      <c r="E159" s="406">
        <v>2</v>
      </c>
      <c r="F159" s="284">
        <v>131861</v>
      </c>
      <c r="G159" s="71">
        <f>0+'[1]táj.2'!G159</f>
        <v>0</v>
      </c>
      <c r="H159" s="71">
        <f>0+'[1]táj.2'!H159</f>
        <v>0</v>
      </c>
      <c r="I159" s="71">
        <f>0+'[1]táj.2'!I159</f>
        <v>0</v>
      </c>
      <c r="J159" s="71">
        <f>0+'[1]táj.2'!J159</f>
        <v>0</v>
      </c>
      <c r="K159" s="71">
        <f>100+'[1]táj.2'!K159</f>
        <v>100</v>
      </c>
      <c r="L159" s="71">
        <f>0+'[1]táj.2'!L159</f>
        <v>0</v>
      </c>
      <c r="M159" s="71">
        <f>0+'[1]táj.2'!M159</f>
        <v>0</v>
      </c>
      <c r="N159" s="71">
        <f>0+'[1]táj.2'!N159</f>
        <v>0</v>
      </c>
      <c r="O159" s="71">
        <f>0+'[1]táj.2'!O159</f>
        <v>0</v>
      </c>
      <c r="P159" s="71">
        <f>0+'[1]táj.2'!P159</f>
        <v>0</v>
      </c>
      <c r="Q159" s="11">
        <f t="shared" si="7"/>
        <v>100</v>
      </c>
    </row>
    <row r="160" spans="1:17" ht="15" customHeight="1">
      <c r="A160" s="70"/>
      <c r="B160" s="70"/>
      <c r="C160" s="70"/>
      <c r="D160" s="72" t="s">
        <v>899</v>
      </c>
      <c r="E160" s="389">
        <v>2</v>
      </c>
      <c r="F160" s="11">
        <v>131829</v>
      </c>
      <c r="G160" s="71">
        <f>400+'[1]táj.2'!G160</f>
        <v>400</v>
      </c>
      <c r="H160" s="71">
        <f>250+'[1]táj.2'!H160</f>
        <v>250</v>
      </c>
      <c r="I160" s="71">
        <f>1200+'[1]táj.2'!I160</f>
        <v>1200</v>
      </c>
      <c r="J160" s="71">
        <f>0+'[1]táj.2'!J160</f>
        <v>0</v>
      </c>
      <c r="K160" s="71">
        <f>1600+'[1]táj.2'!K160</f>
        <v>1600</v>
      </c>
      <c r="L160" s="71">
        <f>0+'[1]táj.2'!L160</f>
        <v>0</v>
      </c>
      <c r="M160" s="71">
        <f>0+'[1]táj.2'!M160</f>
        <v>0</v>
      </c>
      <c r="N160" s="71">
        <f>0+'[1]táj.2'!N160</f>
        <v>0</v>
      </c>
      <c r="O160" s="71">
        <f>0+'[1]táj.2'!O160</f>
        <v>0</v>
      </c>
      <c r="P160" s="71">
        <f>0+'[1]táj.2'!P160</f>
        <v>0</v>
      </c>
      <c r="Q160" s="11">
        <f t="shared" si="7"/>
        <v>3450</v>
      </c>
    </row>
    <row r="161" spans="1:17" ht="15" customHeight="1">
      <c r="A161" s="70"/>
      <c r="B161" s="70"/>
      <c r="C161" s="70"/>
      <c r="D161" s="11" t="s">
        <v>735</v>
      </c>
      <c r="E161" s="389"/>
      <c r="F161" s="1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11"/>
    </row>
    <row r="162" spans="1:17" ht="15" customHeight="1">
      <c r="A162" s="70"/>
      <c r="B162" s="70"/>
      <c r="C162" s="127"/>
      <c r="D162" s="10" t="s">
        <v>770</v>
      </c>
      <c r="E162" s="389">
        <v>1</v>
      </c>
      <c r="F162" s="11">
        <v>131827</v>
      </c>
      <c r="G162" s="71">
        <f>0+'[1]táj.2'!G162</f>
        <v>0</v>
      </c>
      <c r="H162" s="71">
        <f>0+'[1]táj.2'!H162</f>
        <v>0</v>
      </c>
      <c r="I162" s="71">
        <f>27000+'[1]táj.2'!I162</f>
        <v>12017</v>
      </c>
      <c r="J162" s="71">
        <f>0+'[1]táj.2'!J162</f>
        <v>0</v>
      </c>
      <c r="K162" s="71">
        <f>0+'[1]táj.2'!K162</f>
        <v>14983</v>
      </c>
      <c r="L162" s="71">
        <f>0+'[1]táj.2'!L162</f>
        <v>0</v>
      </c>
      <c r="M162" s="71">
        <f>0+'[1]táj.2'!M162</f>
        <v>0</v>
      </c>
      <c r="N162" s="71">
        <f>0+'[1]táj.2'!N162</f>
        <v>0</v>
      </c>
      <c r="O162" s="71">
        <f>0+'[1]táj.2'!O162</f>
        <v>0</v>
      </c>
      <c r="P162" s="71">
        <f>0+'[1]táj.2'!P162</f>
        <v>0</v>
      </c>
      <c r="Q162" s="11">
        <f>SUM(G162:P162)</f>
        <v>27000</v>
      </c>
    </row>
    <row r="163" spans="1:17" ht="15" customHeight="1">
      <c r="A163" s="70"/>
      <c r="B163" s="70"/>
      <c r="C163" s="127"/>
      <c r="D163" s="10" t="s">
        <v>206</v>
      </c>
      <c r="E163" s="10">
        <v>2</v>
      </c>
      <c r="F163" s="11">
        <v>131857</v>
      </c>
      <c r="G163" s="71">
        <f>0+'[1]táj.2'!G163</f>
        <v>0</v>
      </c>
      <c r="H163" s="71">
        <f>0+'[1]táj.2'!H163</f>
        <v>0</v>
      </c>
      <c r="I163" s="71">
        <f>0+'[1]táj.2'!I163</f>
        <v>0</v>
      </c>
      <c r="J163" s="71">
        <f>0+'[1]táj.2'!J163</f>
        <v>0</v>
      </c>
      <c r="K163" s="71">
        <f>13000+'[1]táj.2'!K163</f>
        <v>13000</v>
      </c>
      <c r="L163" s="71">
        <f>0+'[1]táj.2'!L163</f>
        <v>0</v>
      </c>
      <c r="M163" s="71">
        <f>0+'[1]táj.2'!M163</f>
        <v>0</v>
      </c>
      <c r="N163" s="71">
        <f>0+'[1]táj.2'!N163</f>
        <v>0</v>
      </c>
      <c r="O163" s="71">
        <f>0+'[1]táj.2'!O163</f>
        <v>0</v>
      </c>
      <c r="P163" s="71">
        <f>0+'[1]táj.2'!P163</f>
        <v>0</v>
      </c>
      <c r="Q163" s="11">
        <f>SUM(G163:P163)</f>
        <v>13000</v>
      </c>
    </row>
    <row r="164" spans="1:17" ht="15" customHeight="1">
      <c r="A164" s="70"/>
      <c r="B164" s="70"/>
      <c r="C164" s="127"/>
      <c r="D164" s="309" t="s">
        <v>1492</v>
      </c>
      <c r="E164" s="10">
        <v>2</v>
      </c>
      <c r="F164" s="11">
        <v>131844</v>
      </c>
      <c r="G164" s="71">
        <f>0+'[1]táj.2'!G164</f>
        <v>0</v>
      </c>
      <c r="H164" s="71">
        <f>0+'[1]táj.2'!H164</f>
        <v>0</v>
      </c>
      <c r="I164" s="71">
        <f>0+'[1]táj.2'!I164</f>
        <v>0</v>
      </c>
      <c r="J164" s="71">
        <f>0+'[1]táj.2'!J164</f>
        <v>0</v>
      </c>
      <c r="K164" s="71">
        <f>34054+'[1]táj.2'!K164</f>
        <v>34054</v>
      </c>
      <c r="L164" s="71">
        <f>0+'[1]táj.2'!L164</f>
        <v>0</v>
      </c>
      <c r="M164" s="71">
        <f>0+'[1]táj.2'!M164</f>
        <v>0</v>
      </c>
      <c r="N164" s="71">
        <f>0+'[1]táj.2'!N164</f>
        <v>0</v>
      </c>
      <c r="O164" s="71">
        <f>0+'[1]táj.2'!O164</f>
        <v>0</v>
      </c>
      <c r="P164" s="71">
        <f>0+'[1]táj.2'!P164</f>
        <v>0</v>
      </c>
      <c r="Q164" s="11">
        <f>SUM(G164:P164)</f>
        <v>34054</v>
      </c>
    </row>
    <row r="165" spans="1:17" ht="15" customHeight="1">
      <c r="A165" s="70"/>
      <c r="B165" s="70"/>
      <c r="C165" s="127"/>
      <c r="D165" s="309" t="s">
        <v>771</v>
      </c>
      <c r="E165" s="384">
        <v>1</v>
      </c>
      <c r="F165" s="11">
        <v>131901</v>
      </c>
      <c r="G165" s="71">
        <f>0+'[1]táj.2'!G165</f>
        <v>0</v>
      </c>
      <c r="H165" s="71">
        <f>0+'[1]táj.2'!H165</f>
        <v>0</v>
      </c>
      <c r="I165" s="71">
        <f>0+'[1]táj.2'!I165</f>
        <v>2246</v>
      </c>
      <c r="J165" s="71">
        <f>0+'[1]táj.2'!J165</f>
        <v>0</v>
      </c>
      <c r="K165" s="71">
        <f>0+'[1]táj.2'!K165</f>
        <v>0</v>
      </c>
      <c r="L165" s="71">
        <f>0+'[1]táj.2'!L165</f>
        <v>0</v>
      </c>
      <c r="M165" s="71">
        <f>0+'[1]táj.2'!M165</f>
        <v>0</v>
      </c>
      <c r="N165" s="71">
        <f>0+'[1]táj.2'!N165</f>
        <v>0</v>
      </c>
      <c r="O165" s="71">
        <f>0+'[1]táj.2'!O165</f>
        <v>0</v>
      </c>
      <c r="P165" s="71">
        <f>0+'[1]táj.2'!P165</f>
        <v>0</v>
      </c>
      <c r="Q165" s="11">
        <f>SUM(G165:P165)</f>
        <v>2246</v>
      </c>
    </row>
    <row r="166" spans="1:17" ht="12" customHeight="1">
      <c r="A166" s="65"/>
      <c r="B166" s="65"/>
      <c r="C166" s="126"/>
      <c r="D166" s="66" t="s">
        <v>641</v>
      </c>
      <c r="E166" s="385"/>
      <c r="F166" s="69"/>
      <c r="G166" s="204">
        <f aca="true" t="shared" si="8" ref="G166:Q166">SUM(G50:G165)</f>
        <v>4123</v>
      </c>
      <c r="H166" s="204">
        <f t="shared" si="8"/>
        <v>1687</v>
      </c>
      <c r="I166" s="204">
        <f t="shared" si="8"/>
        <v>46045</v>
      </c>
      <c r="J166" s="204">
        <f t="shared" si="8"/>
        <v>5600</v>
      </c>
      <c r="K166" s="204">
        <f t="shared" si="8"/>
        <v>651919</v>
      </c>
      <c r="L166" s="204">
        <f t="shared" si="8"/>
        <v>0</v>
      </c>
      <c r="M166" s="204">
        <f t="shared" si="8"/>
        <v>0</v>
      </c>
      <c r="N166" s="204">
        <f t="shared" si="8"/>
        <v>138</v>
      </c>
      <c r="O166" s="204">
        <f t="shared" si="8"/>
        <v>0</v>
      </c>
      <c r="P166" s="204">
        <f t="shared" si="8"/>
        <v>0</v>
      </c>
      <c r="Q166" s="204">
        <f t="shared" si="8"/>
        <v>709512</v>
      </c>
    </row>
    <row r="167" spans="1:17" ht="12" customHeight="1">
      <c r="A167" s="74"/>
      <c r="B167" s="74"/>
      <c r="C167" s="128"/>
      <c r="D167" s="685" t="s">
        <v>938</v>
      </c>
      <c r="E167" s="386"/>
      <c r="F167" s="12"/>
      <c r="G167" s="688"/>
      <c r="H167" s="688"/>
      <c r="I167" s="688"/>
      <c r="J167" s="688"/>
      <c r="K167" s="688"/>
      <c r="L167" s="688"/>
      <c r="M167" s="688"/>
      <c r="N167" s="688"/>
      <c r="O167" s="688"/>
      <c r="P167" s="688"/>
      <c r="Q167" s="688"/>
    </row>
    <row r="168" spans="1:17" ht="15" customHeight="1">
      <c r="A168" s="74"/>
      <c r="B168" s="74"/>
      <c r="C168" s="689" t="s">
        <v>577</v>
      </c>
      <c r="D168" s="690" t="s">
        <v>430</v>
      </c>
      <c r="E168" s="386"/>
      <c r="F168" s="12"/>
      <c r="G168" s="688"/>
      <c r="H168" s="688"/>
      <c r="I168" s="688"/>
      <c r="J168" s="688"/>
      <c r="K168" s="688"/>
      <c r="L168" s="688"/>
      <c r="M168" s="688"/>
      <c r="N168" s="688"/>
      <c r="O168" s="688"/>
      <c r="P168" s="688"/>
      <c r="Q168" s="688"/>
    </row>
    <row r="169" spans="1:17" ht="15" customHeight="1">
      <c r="A169" s="74"/>
      <c r="B169" s="74"/>
      <c r="C169" s="691" t="s">
        <v>598</v>
      </c>
      <c r="D169" s="692" t="s">
        <v>1233</v>
      </c>
      <c r="E169" s="693"/>
      <c r="F169" s="12"/>
      <c r="G169" s="412"/>
      <c r="H169" s="412"/>
      <c r="I169" s="412"/>
      <c r="J169" s="412"/>
      <c r="K169" s="412"/>
      <c r="L169" s="412"/>
      <c r="M169" s="412"/>
      <c r="N169" s="412"/>
      <c r="O169" s="412"/>
      <c r="P169" s="412"/>
      <c r="Q169" s="412"/>
    </row>
    <row r="170" spans="1:17" ht="28.5" customHeight="1">
      <c r="A170" s="74"/>
      <c r="B170" s="74"/>
      <c r="C170" s="694" t="s">
        <v>1101</v>
      </c>
      <c r="D170" s="695" t="s">
        <v>1529</v>
      </c>
      <c r="E170" s="384"/>
      <c r="F170" s="11">
        <v>134906</v>
      </c>
      <c r="G170" s="412">
        <f>0+'[1]táj.2'!G170</f>
        <v>0</v>
      </c>
      <c r="H170" s="412">
        <f>0+'[1]táj.2'!H170</f>
        <v>0</v>
      </c>
      <c r="I170" s="412">
        <f>0+'[1]táj.2'!I170</f>
        <v>0</v>
      </c>
      <c r="J170" s="412">
        <f>0+'[1]táj.2'!J170</f>
        <v>0</v>
      </c>
      <c r="K170" s="412">
        <f>0+'[1]táj.2'!K170</f>
        <v>0</v>
      </c>
      <c r="L170" s="412">
        <f>0+'[1]táj.2'!L170</f>
        <v>0</v>
      </c>
      <c r="M170" s="412">
        <f>0+'[1]táj.2'!M170</f>
        <v>0</v>
      </c>
      <c r="N170" s="412">
        <f>1500+'[1]táj.2'!N170</f>
        <v>1500</v>
      </c>
      <c r="O170" s="412">
        <f>0+'[1]táj.2'!O170</f>
        <v>0</v>
      </c>
      <c r="P170" s="412">
        <f>0+'[1]táj.2'!P170</f>
        <v>0</v>
      </c>
      <c r="Q170" s="412">
        <f aca="true" t="shared" si="9" ref="Q170:Q177">SUM(G170:P170)</f>
        <v>1500</v>
      </c>
    </row>
    <row r="171" spans="1:17" ht="15" customHeight="1">
      <c r="A171" s="74"/>
      <c r="B171" s="74"/>
      <c r="C171" s="694" t="s">
        <v>1102</v>
      </c>
      <c r="D171" s="695" t="s">
        <v>1530</v>
      </c>
      <c r="E171" s="384"/>
      <c r="F171" s="11">
        <v>134958</v>
      </c>
      <c r="G171" s="412">
        <f>0+'[1]táj.2'!G171</f>
        <v>0</v>
      </c>
      <c r="H171" s="412">
        <f>0+'[1]táj.2'!H171</f>
        <v>0</v>
      </c>
      <c r="I171" s="412">
        <f>0+'[1]táj.2'!I171</f>
        <v>0</v>
      </c>
      <c r="J171" s="412">
        <f>0+'[1]táj.2'!J171</f>
        <v>0</v>
      </c>
      <c r="K171" s="412">
        <f>0+'[1]táj.2'!K171</f>
        <v>0</v>
      </c>
      <c r="L171" s="412">
        <f>0+'[1]táj.2'!L171</f>
        <v>0</v>
      </c>
      <c r="M171" s="412">
        <f>0+'[1]táj.2'!M171</f>
        <v>0</v>
      </c>
      <c r="N171" s="412">
        <f>500+'[1]táj.2'!N171</f>
        <v>500</v>
      </c>
      <c r="O171" s="412">
        <f>0+'[1]táj.2'!O171</f>
        <v>0</v>
      </c>
      <c r="P171" s="412">
        <f>0+'[1]táj.2'!P171</f>
        <v>0</v>
      </c>
      <c r="Q171" s="412">
        <f t="shared" si="9"/>
        <v>500</v>
      </c>
    </row>
    <row r="172" spans="1:17" ht="27" customHeight="1">
      <c r="A172" s="74"/>
      <c r="B172" s="74"/>
      <c r="C172" s="694" t="s">
        <v>1112</v>
      </c>
      <c r="D172" s="629" t="s">
        <v>1531</v>
      </c>
      <c r="E172" s="384"/>
      <c r="F172" s="11">
        <v>132984</v>
      </c>
      <c r="G172" s="412">
        <f>0+'[1]táj.2'!G172</f>
        <v>0</v>
      </c>
      <c r="H172" s="412">
        <f>0+'[1]táj.2'!H172</f>
        <v>0</v>
      </c>
      <c r="I172" s="412">
        <f>0+'[1]táj.2'!I172</f>
        <v>0</v>
      </c>
      <c r="J172" s="412">
        <f>0+'[1]táj.2'!J172</f>
        <v>0</v>
      </c>
      <c r="K172" s="412">
        <f>0+'[1]táj.2'!K172</f>
        <v>0</v>
      </c>
      <c r="L172" s="412">
        <f>0+'[1]táj.2'!L172</f>
        <v>0</v>
      </c>
      <c r="M172" s="412">
        <f>0+'[1]táj.2'!M172</f>
        <v>500</v>
      </c>
      <c r="N172" s="412">
        <f>500+'[1]táj.2'!N172</f>
        <v>0</v>
      </c>
      <c r="O172" s="412">
        <f>0+'[1]táj.2'!O172</f>
        <v>0</v>
      </c>
      <c r="P172" s="412">
        <f>0+'[1]táj.2'!P172</f>
        <v>0</v>
      </c>
      <c r="Q172" s="412">
        <f t="shared" si="9"/>
        <v>500</v>
      </c>
    </row>
    <row r="173" spans="1:17" ht="39" customHeight="1">
      <c r="A173" s="74"/>
      <c r="B173" s="74"/>
      <c r="C173" s="694" t="s">
        <v>1450</v>
      </c>
      <c r="D173" s="696" t="s">
        <v>89</v>
      </c>
      <c r="E173" s="384"/>
      <c r="F173" s="11">
        <v>132903</v>
      </c>
      <c r="G173" s="412">
        <f>0+'[1]táj.2'!G173</f>
        <v>0</v>
      </c>
      <c r="H173" s="412">
        <f>0+'[1]táj.2'!H173</f>
        <v>0</v>
      </c>
      <c r="I173" s="412">
        <f>0+'[1]táj.2'!I173</f>
        <v>0</v>
      </c>
      <c r="J173" s="412">
        <f>0+'[1]táj.2'!J173</f>
        <v>0</v>
      </c>
      <c r="K173" s="412">
        <f>0+'[1]táj.2'!K173</f>
        <v>0</v>
      </c>
      <c r="L173" s="412">
        <f>2500+'[1]táj.2'!L173</f>
        <v>2500</v>
      </c>
      <c r="M173" s="412">
        <f>0+'[1]táj.2'!M173</f>
        <v>0</v>
      </c>
      <c r="N173" s="412">
        <f>9000+'[1]táj.2'!N173</f>
        <v>9000</v>
      </c>
      <c r="O173" s="412">
        <f>0+'[1]táj.2'!O173</f>
        <v>0</v>
      </c>
      <c r="P173" s="412">
        <f>0+'[1]táj.2'!P173</f>
        <v>0</v>
      </c>
      <c r="Q173" s="412">
        <f t="shared" si="9"/>
        <v>11500</v>
      </c>
    </row>
    <row r="174" spans="1:17" ht="16.5" customHeight="1">
      <c r="A174" s="74"/>
      <c r="B174" s="74"/>
      <c r="C174" s="694" t="s">
        <v>1124</v>
      </c>
      <c r="D174" s="629" t="s">
        <v>1336</v>
      </c>
      <c r="E174" s="384"/>
      <c r="F174" s="11">
        <v>134995</v>
      </c>
      <c r="G174" s="412">
        <f>0+'[1]táj.2'!G174</f>
        <v>0</v>
      </c>
      <c r="H174" s="412">
        <f>0+'[1]táj.2'!H174</f>
        <v>0</v>
      </c>
      <c r="I174" s="412">
        <f>0+'[1]táj.2'!I174</f>
        <v>0</v>
      </c>
      <c r="J174" s="412">
        <f>0+'[1]táj.2'!J174</f>
        <v>0</v>
      </c>
      <c r="K174" s="412">
        <f>0+'[1]táj.2'!K174</f>
        <v>0</v>
      </c>
      <c r="L174" s="412">
        <f>0+'[1]táj.2'!L174</f>
        <v>0</v>
      </c>
      <c r="M174" s="412">
        <f>0+'[1]táj.2'!M174</f>
        <v>0</v>
      </c>
      <c r="N174" s="412">
        <f>250+'[1]táj.2'!N174</f>
        <v>250</v>
      </c>
      <c r="O174" s="412">
        <f>0+'[1]táj.2'!O174</f>
        <v>0</v>
      </c>
      <c r="P174" s="412">
        <f>0+'[1]táj.2'!P174</f>
        <v>0</v>
      </c>
      <c r="Q174" s="412">
        <f t="shared" si="9"/>
        <v>250</v>
      </c>
    </row>
    <row r="175" spans="1:17" ht="25.5" customHeight="1">
      <c r="A175" s="74"/>
      <c r="B175" s="74"/>
      <c r="C175" s="694" t="s">
        <v>820</v>
      </c>
      <c r="D175" s="629" t="s">
        <v>1456</v>
      </c>
      <c r="E175" s="384"/>
      <c r="F175" s="11">
        <v>134907</v>
      </c>
      <c r="G175" s="412">
        <f>0+'[1]táj.2'!G175</f>
        <v>0</v>
      </c>
      <c r="H175" s="412">
        <f>0+'[1]táj.2'!H175</f>
        <v>0</v>
      </c>
      <c r="I175" s="412">
        <f>0+'[1]táj.2'!I175</f>
        <v>0</v>
      </c>
      <c r="J175" s="412">
        <f>0+'[1]táj.2'!J175</f>
        <v>0</v>
      </c>
      <c r="K175" s="412">
        <f>0+'[1]táj.2'!K175</f>
        <v>0</v>
      </c>
      <c r="L175" s="412">
        <f>0+'[1]táj.2'!L175</f>
        <v>0</v>
      </c>
      <c r="M175" s="412">
        <f>1000+'[1]táj.2'!M175</f>
        <v>1000</v>
      </c>
      <c r="N175" s="412">
        <f>0+'[1]táj.2'!N175</f>
        <v>0</v>
      </c>
      <c r="O175" s="412">
        <f>0+'[1]táj.2'!O175</f>
        <v>0</v>
      </c>
      <c r="P175" s="412">
        <f>0+'[1]táj.2'!P175</f>
        <v>0</v>
      </c>
      <c r="Q175" s="412">
        <f t="shared" si="9"/>
        <v>1000</v>
      </c>
    </row>
    <row r="176" spans="1:17" ht="26.25" customHeight="1">
      <c r="A176" s="74"/>
      <c r="B176" s="74"/>
      <c r="C176" s="694" t="s">
        <v>821</v>
      </c>
      <c r="D176" s="629" t="s">
        <v>0</v>
      </c>
      <c r="E176" s="384"/>
      <c r="F176" s="11">
        <v>132904</v>
      </c>
      <c r="G176" s="412">
        <f>0+'[1]táj.2'!G176</f>
        <v>0</v>
      </c>
      <c r="H176" s="412">
        <f>0+'[1]táj.2'!H176</f>
        <v>0</v>
      </c>
      <c r="I176" s="412">
        <f>0+'[1]táj.2'!I176</f>
        <v>0</v>
      </c>
      <c r="J176" s="412">
        <f>0+'[1]táj.2'!J176</f>
        <v>0</v>
      </c>
      <c r="K176" s="412">
        <f>0+'[1]táj.2'!K176</f>
        <v>0</v>
      </c>
      <c r="L176" s="412">
        <f>1400+'[1]táj.2'!L176</f>
        <v>1400</v>
      </c>
      <c r="M176" s="412">
        <f>0+'[1]táj.2'!M176</f>
        <v>0</v>
      </c>
      <c r="N176" s="412">
        <f>1400+'[1]táj.2'!N176</f>
        <v>1400</v>
      </c>
      <c r="O176" s="412">
        <f>0+'[1]táj.2'!O176</f>
        <v>0</v>
      </c>
      <c r="P176" s="412">
        <f>0+'[1]táj.2'!P176</f>
        <v>0</v>
      </c>
      <c r="Q176" s="412">
        <f t="shared" si="9"/>
        <v>2800</v>
      </c>
    </row>
    <row r="177" spans="1:17" ht="18" customHeight="1">
      <c r="A177" s="74"/>
      <c r="B177" s="74"/>
      <c r="C177" s="694" t="s">
        <v>1457</v>
      </c>
      <c r="D177" s="629" t="s">
        <v>61</v>
      </c>
      <c r="E177" s="384"/>
      <c r="F177" s="11">
        <v>134908</v>
      </c>
      <c r="G177" s="412">
        <f>0+'[1]táj.2'!G177</f>
        <v>0</v>
      </c>
      <c r="H177" s="412">
        <f>0+'[1]táj.2'!H177</f>
        <v>0</v>
      </c>
      <c r="I177" s="412">
        <f>0+'[1]táj.2'!I177</f>
        <v>0</v>
      </c>
      <c r="J177" s="412">
        <f>0+'[1]táj.2'!J177</f>
        <v>0</v>
      </c>
      <c r="K177" s="412">
        <f>0+'[1]táj.2'!K177</f>
        <v>0</v>
      </c>
      <c r="L177" s="412">
        <f>0+'[1]táj.2'!L177</f>
        <v>0</v>
      </c>
      <c r="M177" s="412">
        <f>3000+'[1]táj.2'!M177</f>
        <v>3000</v>
      </c>
      <c r="N177" s="412">
        <f>0+'[1]táj.2'!N177</f>
        <v>0</v>
      </c>
      <c r="O177" s="412">
        <f>0+'[1]táj.2'!O177</f>
        <v>0</v>
      </c>
      <c r="P177" s="412">
        <f>0+'[1]táj.2'!P177</f>
        <v>0</v>
      </c>
      <c r="Q177" s="412">
        <f t="shared" si="9"/>
        <v>3000</v>
      </c>
    </row>
    <row r="178" spans="1:17" ht="15" customHeight="1">
      <c r="A178" s="74"/>
      <c r="B178" s="74"/>
      <c r="C178" s="128" t="s">
        <v>599</v>
      </c>
      <c r="D178" s="697" t="s">
        <v>1103</v>
      </c>
      <c r="E178" s="384"/>
      <c r="F178" s="11"/>
      <c r="G178" s="412"/>
      <c r="H178" s="412"/>
      <c r="I178" s="412"/>
      <c r="J178" s="412"/>
      <c r="K178" s="412"/>
      <c r="L178" s="412"/>
      <c r="M178" s="412"/>
      <c r="N178" s="412"/>
      <c r="O178" s="412"/>
      <c r="P178" s="412"/>
      <c r="Q178" s="412"/>
    </row>
    <row r="179" spans="1:17" ht="18" customHeight="1">
      <c r="A179" s="74"/>
      <c r="B179" s="74"/>
      <c r="C179" s="698" t="s">
        <v>1104</v>
      </c>
      <c r="D179" s="699" t="s">
        <v>1</v>
      </c>
      <c r="E179" s="384"/>
      <c r="F179" s="11">
        <v>134914</v>
      </c>
      <c r="G179" s="412">
        <f>0+'[1]táj.2'!G179</f>
        <v>0</v>
      </c>
      <c r="H179" s="412">
        <f>0+'[1]táj.2'!H179</f>
        <v>0</v>
      </c>
      <c r="I179" s="412">
        <f>0+'[1]táj.2'!I179</f>
        <v>0</v>
      </c>
      <c r="J179" s="412">
        <f>0+'[1]táj.2'!J179</f>
        <v>0</v>
      </c>
      <c r="K179" s="412">
        <f>0+'[1]táj.2'!K179</f>
        <v>0</v>
      </c>
      <c r="L179" s="412">
        <f>0+'[1]táj.2'!L179</f>
        <v>0</v>
      </c>
      <c r="M179" s="412">
        <f>0+'[1]táj.2'!M179</f>
        <v>0</v>
      </c>
      <c r="N179" s="412">
        <f>500+'[1]táj.2'!N179</f>
        <v>500</v>
      </c>
      <c r="O179" s="412">
        <f>0+'[1]táj.2'!O179</f>
        <v>0</v>
      </c>
      <c r="P179" s="412">
        <f>0+'[1]táj.2'!P179</f>
        <v>0</v>
      </c>
      <c r="Q179" s="412">
        <f aca="true" t="shared" si="10" ref="Q179:Q184">SUM(G179:P179)</f>
        <v>500</v>
      </c>
    </row>
    <row r="180" spans="1:17" ht="15" customHeight="1">
      <c r="A180" s="74"/>
      <c r="B180" s="74"/>
      <c r="C180" s="700" t="s">
        <v>1105</v>
      </c>
      <c r="D180" s="699" t="s">
        <v>129</v>
      </c>
      <c r="E180" s="384"/>
      <c r="F180" s="11">
        <v>132990</v>
      </c>
      <c r="G180" s="412">
        <f>0+'[1]táj.2'!G180</f>
        <v>0</v>
      </c>
      <c r="H180" s="412">
        <f>0+'[1]táj.2'!H180</f>
        <v>0</v>
      </c>
      <c r="I180" s="412">
        <f>0+'[1]táj.2'!I180</f>
        <v>0</v>
      </c>
      <c r="J180" s="412">
        <f>0+'[1]táj.2'!J180</f>
        <v>0</v>
      </c>
      <c r="K180" s="412">
        <f>0+'[1]táj.2'!K180</f>
        <v>0</v>
      </c>
      <c r="L180" s="412">
        <f>0+'[1]táj.2'!L180</f>
        <v>0</v>
      </c>
      <c r="M180" s="412">
        <f>0+'[1]táj.2'!M180</f>
        <v>0</v>
      </c>
      <c r="N180" s="412">
        <f>1000+'[1]táj.2'!N180</f>
        <v>1000</v>
      </c>
      <c r="O180" s="412">
        <f>0+'[1]táj.2'!O180</f>
        <v>0</v>
      </c>
      <c r="P180" s="412">
        <f>0+'[1]táj.2'!P180</f>
        <v>0</v>
      </c>
      <c r="Q180" s="412">
        <f t="shared" si="10"/>
        <v>1000</v>
      </c>
    </row>
    <row r="181" spans="1:17" ht="15" customHeight="1">
      <c r="A181" s="74"/>
      <c r="B181" s="74"/>
      <c r="C181" s="700" t="s">
        <v>1106</v>
      </c>
      <c r="D181" s="629" t="s">
        <v>1523</v>
      </c>
      <c r="E181" s="384"/>
      <c r="F181" s="11">
        <v>132905</v>
      </c>
      <c r="G181" s="412">
        <f>0+'[1]táj.2'!G181</f>
        <v>0</v>
      </c>
      <c r="H181" s="412">
        <f>0+'[1]táj.2'!H181</f>
        <v>0</v>
      </c>
      <c r="I181" s="412">
        <f>0+'[1]táj.2'!I181</f>
        <v>0</v>
      </c>
      <c r="J181" s="412">
        <f>0+'[1]táj.2'!J181</f>
        <v>0</v>
      </c>
      <c r="K181" s="412">
        <f>0+'[1]táj.2'!K181</f>
        <v>0</v>
      </c>
      <c r="L181" s="412">
        <f>0+'[1]táj.2'!L181</f>
        <v>0</v>
      </c>
      <c r="M181" s="412">
        <f>0+'[1]táj.2'!M181</f>
        <v>0</v>
      </c>
      <c r="N181" s="412">
        <f>500+'[1]táj.2'!N181</f>
        <v>500</v>
      </c>
      <c r="O181" s="412">
        <f>0+'[1]táj.2'!O181</f>
        <v>0</v>
      </c>
      <c r="P181" s="412">
        <f>0+'[1]táj.2'!P181</f>
        <v>0</v>
      </c>
      <c r="Q181" s="412">
        <f t="shared" si="10"/>
        <v>500</v>
      </c>
    </row>
    <row r="182" spans="1:17" ht="15" customHeight="1">
      <c r="A182" s="74"/>
      <c r="B182" s="74"/>
      <c r="C182" s="700" t="s">
        <v>1487</v>
      </c>
      <c r="D182" s="629" t="s">
        <v>1340</v>
      </c>
      <c r="E182" s="384"/>
      <c r="F182" s="11">
        <v>132906</v>
      </c>
      <c r="G182" s="412">
        <f>0+'[1]táj.2'!G182</f>
        <v>0</v>
      </c>
      <c r="H182" s="412">
        <f>0+'[1]táj.2'!H182</f>
        <v>0</v>
      </c>
      <c r="I182" s="412">
        <f>0+'[1]táj.2'!I182</f>
        <v>178</v>
      </c>
      <c r="J182" s="412">
        <f>0+'[1]táj.2'!J182</f>
        <v>0</v>
      </c>
      <c r="K182" s="412">
        <f>0+'[1]táj.2'!K182</f>
        <v>0</v>
      </c>
      <c r="L182" s="412">
        <f>0+'[1]táj.2'!L182</f>
        <v>0</v>
      </c>
      <c r="M182" s="412">
        <f>0+'[1]táj.2'!M182</f>
        <v>0</v>
      </c>
      <c r="N182" s="412">
        <f>1700+'[1]táj.2'!N182</f>
        <v>1522</v>
      </c>
      <c r="O182" s="412">
        <f>0+'[1]táj.2'!O182</f>
        <v>0</v>
      </c>
      <c r="P182" s="412">
        <f>0+'[1]táj.2'!P182</f>
        <v>0</v>
      </c>
      <c r="Q182" s="412">
        <f t="shared" si="10"/>
        <v>1700</v>
      </c>
    </row>
    <row r="183" spans="1:17" ht="15" customHeight="1">
      <c r="A183" s="74"/>
      <c r="B183" s="74"/>
      <c r="C183" s="700" t="s">
        <v>1488</v>
      </c>
      <c r="D183" s="629" t="s">
        <v>1471</v>
      </c>
      <c r="E183" s="384"/>
      <c r="F183" s="11">
        <v>132907</v>
      </c>
      <c r="G183" s="412">
        <f>0+'[1]táj.2'!G183</f>
        <v>0</v>
      </c>
      <c r="H183" s="412">
        <f>0+'[1]táj.2'!H183</f>
        <v>0</v>
      </c>
      <c r="I183" s="412">
        <f>0+'[1]táj.2'!I183</f>
        <v>0</v>
      </c>
      <c r="J183" s="412">
        <f>0+'[1]táj.2'!J183</f>
        <v>0</v>
      </c>
      <c r="K183" s="412">
        <f>0+'[1]táj.2'!K183</f>
        <v>0</v>
      </c>
      <c r="L183" s="412">
        <f>2000+'[1]táj.2'!L183</f>
        <v>2000</v>
      </c>
      <c r="M183" s="412">
        <f>0+'[1]táj.2'!M183</f>
        <v>0</v>
      </c>
      <c r="N183" s="412">
        <f>0+'[1]táj.2'!N183</f>
        <v>0</v>
      </c>
      <c r="O183" s="412">
        <f>0+'[1]táj.2'!O183</f>
        <v>0</v>
      </c>
      <c r="P183" s="412">
        <f>0+'[1]táj.2'!P183</f>
        <v>0</v>
      </c>
      <c r="Q183" s="412">
        <f t="shared" si="10"/>
        <v>2000</v>
      </c>
    </row>
    <row r="184" spans="1:17" ht="15" customHeight="1">
      <c r="A184" s="74"/>
      <c r="B184" s="74"/>
      <c r="C184" s="700" t="s">
        <v>1489</v>
      </c>
      <c r="D184" s="629" t="s">
        <v>1486</v>
      </c>
      <c r="E184" s="384"/>
      <c r="F184" s="11">
        <v>132908</v>
      </c>
      <c r="G184" s="412">
        <f>0+'[1]táj.2'!G184</f>
        <v>0</v>
      </c>
      <c r="H184" s="412">
        <f>0+'[1]táj.2'!H184</f>
        <v>0</v>
      </c>
      <c r="I184" s="412">
        <f>0+'[1]táj.2'!I184</f>
        <v>0</v>
      </c>
      <c r="J184" s="412">
        <f>0+'[1]táj.2'!J184</f>
        <v>0</v>
      </c>
      <c r="K184" s="412">
        <f>0+'[1]táj.2'!K184</f>
        <v>0</v>
      </c>
      <c r="L184" s="412">
        <f>2500+'[1]táj.2'!L184</f>
        <v>0</v>
      </c>
      <c r="M184" s="412">
        <f>0+'[1]táj.2'!M184</f>
        <v>0</v>
      </c>
      <c r="N184" s="412">
        <f>0+'[1]táj.2'!N184</f>
        <v>2500</v>
      </c>
      <c r="O184" s="412">
        <f>0+'[1]táj.2'!O184</f>
        <v>0</v>
      </c>
      <c r="P184" s="412">
        <f>0+'[1]táj.2'!P184</f>
        <v>0</v>
      </c>
      <c r="Q184" s="412">
        <f t="shared" si="10"/>
        <v>2500</v>
      </c>
    </row>
    <row r="185" spans="1:17" ht="15" customHeight="1">
      <c r="A185" s="74"/>
      <c r="B185" s="74"/>
      <c r="C185" s="701" t="s">
        <v>1146</v>
      </c>
      <c r="D185" s="702" t="s">
        <v>1147</v>
      </c>
      <c r="E185" s="384"/>
      <c r="F185" s="11"/>
      <c r="G185" s="412"/>
      <c r="H185" s="412"/>
      <c r="I185" s="412"/>
      <c r="J185" s="412"/>
      <c r="K185" s="412"/>
      <c r="L185" s="412"/>
      <c r="M185" s="412"/>
      <c r="N185" s="412"/>
      <c r="O185" s="412"/>
      <c r="P185" s="412"/>
      <c r="Q185" s="412"/>
    </row>
    <row r="186" spans="1:17" ht="15" customHeight="1">
      <c r="A186" s="74"/>
      <c r="B186" s="74"/>
      <c r="C186" s="700" t="s">
        <v>1148</v>
      </c>
      <c r="D186" s="629" t="s">
        <v>1321</v>
      </c>
      <c r="E186" s="386"/>
      <c r="F186" s="11">
        <v>132992</v>
      </c>
      <c r="G186" s="412">
        <f>0+'[1]táj.2'!G186</f>
        <v>0</v>
      </c>
      <c r="H186" s="412">
        <f>0+'[1]táj.2'!H186</f>
        <v>0</v>
      </c>
      <c r="I186" s="412">
        <f>0+'[1]táj.2'!I186</f>
        <v>0</v>
      </c>
      <c r="J186" s="412">
        <f>0+'[1]táj.2'!J186</f>
        <v>0</v>
      </c>
      <c r="K186" s="412">
        <f>0+'[1]táj.2'!K186</f>
        <v>0</v>
      </c>
      <c r="L186" s="412">
        <f>0+'[1]táj.2'!L186</f>
        <v>0</v>
      </c>
      <c r="M186" s="412">
        <f>0+'[1]táj.2'!M186</f>
        <v>0</v>
      </c>
      <c r="N186" s="412">
        <f>200+'[1]táj.2'!N186</f>
        <v>200</v>
      </c>
      <c r="O186" s="412">
        <f>0+'[1]táj.2'!O186</f>
        <v>0</v>
      </c>
      <c r="P186" s="412">
        <f>0+'[1]táj.2'!P186</f>
        <v>0</v>
      </c>
      <c r="Q186" s="412">
        <f>SUM(G186:P186)</f>
        <v>200</v>
      </c>
    </row>
    <row r="187" spans="1:17" ht="29.25" customHeight="1">
      <c r="A187" s="74"/>
      <c r="B187" s="74"/>
      <c r="C187" s="700" t="s">
        <v>130</v>
      </c>
      <c r="D187" s="629" t="s">
        <v>1339</v>
      </c>
      <c r="E187" s="386"/>
      <c r="F187" s="11">
        <v>132993</v>
      </c>
      <c r="G187" s="412">
        <f>0+'[1]táj.2'!G187</f>
        <v>0</v>
      </c>
      <c r="H187" s="412">
        <f>0+'[1]táj.2'!H187</f>
        <v>0</v>
      </c>
      <c r="I187" s="412">
        <f>0+'[1]táj.2'!I187</f>
        <v>0</v>
      </c>
      <c r="J187" s="412">
        <f>0+'[1]táj.2'!J187</f>
        <v>0</v>
      </c>
      <c r="K187" s="412">
        <f>0+'[1]táj.2'!K187</f>
        <v>0</v>
      </c>
      <c r="L187" s="412">
        <f>0+'[1]táj.2'!L187</f>
        <v>0</v>
      </c>
      <c r="M187" s="412">
        <f>0+'[1]táj.2'!M187</f>
        <v>0</v>
      </c>
      <c r="N187" s="412">
        <f>1000+'[1]táj.2'!N187</f>
        <v>1000</v>
      </c>
      <c r="O187" s="412">
        <f>0+'[1]táj.2'!O187</f>
        <v>0</v>
      </c>
      <c r="P187" s="412">
        <f>0+'[1]táj.2'!P187</f>
        <v>0</v>
      </c>
      <c r="Q187" s="412">
        <f>SUM(G187:P187)</f>
        <v>1000</v>
      </c>
    </row>
    <row r="188" spans="1:17" ht="15" customHeight="1">
      <c r="A188" s="74"/>
      <c r="B188" s="74"/>
      <c r="C188" s="703" t="s">
        <v>576</v>
      </c>
      <c r="D188" s="689" t="s">
        <v>431</v>
      </c>
      <c r="E188" s="386"/>
      <c r="F188" s="11"/>
      <c r="G188" s="412"/>
      <c r="H188" s="412"/>
      <c r="I188" s="412"/>
      <c r="J188" s="412"/>
      <c r="K188" s="412"/>
      <c r="L188" s="412"/>
      <c r="M188" s="412"/>
      <c r="N188" s="412"/>
      <c r="O188" s="412"/>
      <c r="P188" s="412"/>
      <c r="Q188" s="412"/>
    </row>
    <row r="189" spans="1:17" ht="15" customHeight="1">
      <c r="A189" s="74"/>
      <c r="B189" s="74"/>
      <c r="C189" s="127" t="s">
        <v>819</v>
      </c>
      <c r="D189" s="629" t="s">
        <v>1455</v>
      </c>
      <c r="E189" s="386"/>
      <c r="F189" s="11">
        <v>132983</v>
      </c>
      <c r="G189" s="412">
        <f>0+'[1]táj.2'!G189</f>
        <v>0</v>
      </c>
      <c r="H189" s="412">
        <f>0+'[1]táj.2'!H189</f>
        <v>0</v>
      </c>
      <c r="I189" s="412">
        <f>0+'[1]táj.2'!I189</f>
        <v>0</v>
      </c>
      <c r="J189" s="412">
        <f>0+'[1]táj.2'!J189</f>
        <v>0</v>
      </c>
      <c r="K189" s="412">
        <f>0+'[1]táj.2'!K189</f>
        <v>0</v>
      </c>
      <c r="L189" s="412">
        <f>500+'[1]táj.2'!L189</f>
        <v>500</v>
      </c>
      <c r="M189" s="412">
        <f>0+'[1]táj.2'!M189</f>
        <v>0</v>
      </c>
      <c r="N189" s="412">
        <f>0+'[1]táj.2'!N189</f>
        <v>0</v>
      </c>
      <c r="O189" s="412">
        <f>0+'[1]táj.2'!O189</f>
        <v>0</v>
      </c>
      <c r="P189" s="412">
        <f>0+'[1]táj.2'!P189</f>
        <v>0</v>
      </c>
      <c r="Q189" s="412">
        <f>SUM(G189:P189)</f>
        <v>500</v>
      </c>
    </row>
    <row r="190" spans="1:17" ht="30.75" customHeight="1">
      <c r="A190" s="74"/>
      <c r="B190" s="74"/>
      <c r="C190" s="127" t="s">
        <v>1454</v>
      </c>
      <c r="D190" s="629" t="s">
        <v>1472</v>
      </c>
      <c r="E190" s="386"/>
      <c r="F190" s="11">
        <v>132909</v>
      </c>
      <c r="G190" s="412">
        <f>0+'[1]táj.2'!G190</f>
        <v>0</v>
      </c>
      <c r="H190" s="412">
        <f>0+'[1]táj.2'!H190</f>
        <v>0</v>
      </c>
      <c r="I190" s="412">
        <f>0+'[1]táj.2'!I190</f>
        <v>0</v>
      </c>
      <c r="J190" s="412">
        <f>0+'[1]táj.2'!J190</f>
        <v>0</v>
      </c>
      <c r="K190" s="412">
        <f>0+'[1]táj.2'!K190</f>
        <v>0</v>
      </c>
      <c r="L190" s="412">
        <f>1000+'[1]táj.2'!L190</f>
        <v>1251</v>
      </c>
      <c r="M190" s="412">
        <f>0+'[1]táj.2'!M190</f>
        <v>0</v>
      </c>
      <c r="N190" s="412">
        <f>0+'[1]táj.2'!N190</f>
        <v>0</v>
      </c>
      <c r="O190" s="412">
        <f>0+'[1]táj.2'!O190</f>
        <v>0</v>
      </c>
      <c r="P190" s="412">
        <f>0+'[1]táj.2'!P190</f>
        <v>0</v>
      </c>
      <c r="Q190" s="412">
        <f>SUM(G190:P190)</f>
        <v>1251</v>
      </c>
    </row>
    <row r="191" spans="1:17" ht="27.75" customHeight="1">
      <c r="A191" s="74"/>
      <c r="B191" s="74"/>
      <c r="C191" s="127" t="s">
        <v>64</v>
      </c>
      <c r="D191" s="629" t="s">
        <v>65</v>
      </c>
      <c r="E191" s="386"/>
      <c r="F191" s="11">
        <v>134910</v>
      </c>
      <c r="G191" s="412">
        <f>0+'[1]táj.2'!G191</f>
        <v>0</v>
      </c>
      <c r="H191" s="412">
        <f>0+'[1]táj.2'!H191</f>
        <v>0</v>
      </c>
      <c r="I191" s="412">
        <f>0+'[1]táj.2'!I191</f>
        <v>0</v>
      </c>
      <c r="J191" s="412">
        <f>0+'[1]táj.2'!J191</f>
        <v>0</v>
      </c>
      <c r="K191" s="412">
        <f>0+'[1]táj.2'!K191</f>
        <v>0</v>
      </c>
      <c r="L191" s="412">
        <f>0+'[1]táj.2'!L191</f>
        <v>0</v>
      </c>
      <c r="M191" s="412">
        <f>5500+'[1]táj.2'!M191</f>
        <v>5500</v>
      </c>
      <c r="N191" s="412">
        <f>0+'[1]táj.2'!N191</f>
        <v>0</v>
      </c>
      <c r="O191" s="412">
        <f>0+'[1]táj.2'!O191</f>
        <v>0</v>
      </c>
      <c r="P191" s="412">
        <f>0+'[1]táj.2'!P191</f>
        <v>0</v>
      </c>
      <c r="Q191" s="412">
        <f>SUM(G191:P191)</f>
        <v>5500</v>
      </c>
    </row>
    <row r="192" spans="1:17" ht="15" customHeight="1">
      <c r="A192" s="74"/>
      <c r="B192" s="74"/>
      <c r="C192" s="704" t="s">
        <v>578</v>
      </c>
      <c r="D192" s="689" t="s">
        <v>1107</v>
      </c>
      <c r="E192" s="384"/>
      <c r="F192" s="11"/>
      <c r="G192" s="412"/>
      <c r="H192" s="412"/>
      <c r="I192" s="412"/>
      <c r="J192" s="412"/>
      <c r="K192" s="412"/>
      <c r="L192" s="412"/>
      <c r="M192" s="412"/>
      <c r="N192" s="412"/>
      <c r="O192" s="412"/>
      <c r="P192" s="412"/>
      <c r="Q192" s="412"/>
    </row>
    <row r="193" spans="1:17" ht="15" customHeight="1">
      <c r="A193" s="74"/>
      <c r="B193" s="74"/>
      <c r="C193" s="700" t="s">
        <v>1108</v>
      </c>
      <c r="D193" s="695" t="s">
        <v>1110</v>
      </c>
      <c r="E193" s="384"/>
      <c r="F193" s="11">
        <v>134974</v>
      </c>
      <c r="G193" s="412">
        <f>0+'[1]táj.2'!G193</f>
        <v>0</v>
      </c>
      <c r="H193" s="412">
        <f>0+'[1]táj.2'!H193</f>
        <v>0</v>
      </c>
      <c r="I193" s="412">
        <f>0+'[1]táj.2'!I193</f>
        <v>0</v>
      </c>
      <c r="J193" s="412">
        <f>0+'[1]táj.2'!J193</f>
        <v>0</v>
      </c>
      <c r="K193" s="412">
        <f>0+'[1]táj.2'!K193</f>
        <v>0</v>
      </c>
      <c r="L193" s="412">
        <f>0+'[1]táj.2'!L193</f>
        <v>0</v>
      </c>
      <c r="M193" s="412">
        <f>0+'[1]táj.2'!M193</f>
        <v>0</v>
      </c>
      <c r="N193" s="412">
        <f>500+'[1]táj.2'!N193</f>
        <v>500</v>
      </c>
      <c r="O193" s="412">
        <f>0+'[1]táj.2'!O193</f>
        <v>0</v>
      </c>
      <c r="P193" s="412">
        <f>0+'[1]táj.2'!P193</f>
        <v>0</v>
      </c>
      <c r="Q193" s="412">
        <f>SUM(G193:P193)</f>
        <v>500</v>
      </c>
    </row>
    <row r="194" spans="1:17" ht="15" customHeight="1">
      <c r="A194" s="74"/>
      <c r="B194" s="74"/>
      <c r="C194" s="700" t="s">
        <v>1109</v>
      </c>
      <c r="D194" s="629" t="s">
        <v>1281</v>
      </c>
      <c r="E194" s="384"/>
      <c r="F194" s="11">
        <v>134912</v>
      </c>
      <c r="G194" s="412">
        <f>0+'[1]táj.2'!G194</f>
        <v>0</v>
      </c>
      <c r="H194" s="412">
        <f>0+'[1]táj.2'!H194</f>
        <v>0</v>
      </c>
      <c r="I194" s="412">
        <f>0+'[1]táj.2'!I194</f>
        <v>0</v>
      </c>
      <c r="J194" s="412">
        <f>0+'[1]táj.2'!J194</f>
        <v>0</v>
      </c>
      <c r="K194" s="412">
        <f>0+'[1]táj.2'!K194</f>
        <v>0</v>
      </c>
      <c r="L194" s="412">
        <f>0+'[1]táj.2'!L194</f>
        <v>0</v>
      </c>
      <c r="M194" s="412">
        <f>400+'[1]táj.2'!M194</f>
        <v>400</v>
      </c>
      <c r="N194" s="412">
        <f>0+'[1]táj.2'!N194</f>
        <v>0</v>
      </c>
      <c r="O194" s="412">
        <f>0+'[1]táj.2'!O194</f>
        <v>0</v>
      </c>
      <c r="P194" s="412">
        <f>0+'[1]táj.2'!P194</f>
        <v>0</v>
      </c>
      <c r="Q194" s="412">
        <f>SUM(G194:P194)</f>
        <v>400</v>
      </c>
    </row>
    <row r="195" spans="1:17" ht="15" customHeight="1">
      <c r="A195" s="74"/>
      <c r="B195" s="74"/>
      <c r="C195" s="700" t="s">
        <v>128</v>
      </c>
      <c r="D195" s="629" t="s">
        <v>1302</v>
      </c>
      <c r="E195" s="384"/>
      <c r="F195" s="11">
        <v>134999</v>
      </c>
      <c r="G195" s="412">
        <f>0+'[1]táj.2'!G195</f>
        <v>0</v>
      </c>
      <c r="H195" s="412">
        <f>0+'[1]táj.2'!H195</f>
        <v>0</v>
      </c>
      <c r="I195" s="412">
        <f>0+'[1]táj.2'!I195</f>
        <v>0</v>
      </c>
      <c r="J195" s="412">
        <f>0+'[1]táj.2'!J195</f>
        <v>0</v>
      </c>
      <c r="K195" s="412">
        <f>0+'[1]táj.2'!K195</f>
        <v>0</v>
      </c>
      <c r="L195" s="412">
        <f>0+'[1]táj.2'!L195</f>
        <v>0</v>
      </c>
      <c r="M195" s="412">
        <f>0+'[1]táj.2'!M195</f>
        <v>0</v>
      </c>
      <c r="N195" s="412">
        <f>1000+'[1]táj.2'!N195</f>
        <v>1000</v>
      </c>
      <c r="O195" s="412">
        <f>0+'[1]táj.2'!O195</f>
        <v>0</v>
      </c>
      <c r="P195" s="412">
        <f>0+'[1]táj.2'!P195</f>
        <v>0</v>
      </c>
      <c r="Q195" s="412">
        <f>SUM(G195:P195)</f>
        <v>1000</v>
      </c>
    </row>
    <row r="196" spans="1:17" ht="15" customHeight="1">
      <c r="A196" s="74"/>
      <c r="B196" s="74"/>
      <c r="C196" s="705" t="s">
        <v>62</v>
      </c>
      <c r="D196" s="629" t="s">
        <v>63</v>
      </c>
      <c r="E196" s="384"/>
      <c r="F196" s="11">
        <v>134926</v>
      </c>
      <c r="G196" s="412">
        <f>0+'[1]táj.2'!G196</f>
        <v>0</v>
      </c>
      <c r="H196" s="412">
        <f>0+'[1]táj.2'!H196</f>
        <v>0</v>
      </c>
      <c r="I196" s="412">
        <f>0+'[1]táj.2'!I196</f>
        <v>0</v>
      </c>
      <c r="J196" s="412">
        <f>0+'[1]táj.2'!J196</f>
        <v>0</v>
      </c>
      <c r="K196" s="412">
        <f>0+'[1]táj.2'!K196</f>
        <v>0</v>
      </c>
      <c r="L196" s="412">
        <f>0+'[1]táj.2'!L196</f>
        <v>0</v>
      </c>
      <c r="M196" s="412">
        <f>4000+'[1]táj.2'!M196</f>
        <v>0</v>
      </c>
      <c r="N196" s="412">
        <f>0+'[1]táj.2'!N196</f>
        <v>4000</v>
      </c>
      <c r="O196" s="412">
        <f>0+'[1]táj.2'!O196</f>
        <v>0</v>
      </c>
      <c r="P196" s="412">
        <f>0+'[1]táj.2'!P196</f>
        <v>0</v>
      </c>
      <c r="Q196" s="412">
        <f>SUM(G196:P196)</f>
        <v>4000</v>
      </c>
    </row>
    <row r="197" spans="1:17" ht="24.75" customHeight="1">
      <c r="A197" s="74"/>
      <c r="B197" s="74"/>
      <c r="C197" s="70" t="s">
        <v>772</v>
      </c>
      <c r="D197" s="706" t="s">
        <v>773</v>
      </c>
      <c r="E197" s="384"/>
      <c r="F197" s="11">
        <v>134916</v>
      </c>
      <c r="G197" s="412">
        <f>0+'[1]táj.2'!G197</f>
        <v>0</v>
      </c>
      <c r="H197" s="412">
        <f>0+'[1]táj.2'!H197</f>
        <v>0</v>
      </c>
      <c r="I197" s="412">
        <f>0+'[1]táj.2'!I197</f>
        <v>0</v>
      </c>
      <c r="J197" s="412">
        <f>0+'[1]táj.2'!J197</f>
        <v>0</v>
      </c>
      <c r="K197" s="412">
        <f>0+'[1]táj.2'!K197</f>
        <v>0</v>
      </c>
      <c r="L197" s="412">
        <f>0+'[1]táj.2'!L197</f>
        <v>0</v>
      </c>
      <c r="M197" s="412">
        <f>0+'[1]táj.2'!M197</f>
        <v>423</v>
      </c>
      <c r="N197" s="412">
        <f>0+'[1]táj.2'!N197</f>
        <v>0</v>
      </c>
      <c r="O197" s="412">
        <f>0+'[1]táj.2'!O197</f>
        <v>0</v>
      </c>
      <c r="P197" s="412">
        <f>0+'[1]táj.2'!P197</f>
        <v>0</v>
      </c>
      <c r="Q197" s="412">
        <f>SUM(G197:P197)</f>
        <v>423</v>
      </c>
    </row>
    <row r="198" spans="1:17" ht="15" customHeight="1">
      <c r="A198" s="74"/>
      <c r="B198" s="74"/>
      <c r="C198" s="70" t="s">
        <v>579</v>
      </c>
      <c r="D198" s="707" t="s">
        <v>66</v>
      </c>
      <c r="E198" s="384"/>
      <c r="F198" s="11"/>
      <c r="G198" s="412"/>
      <c r="H198" s="412"/>
      <c r="I198" s="412"/>
      <c r="J198" s="412"/>
      <c r="K198" s="412"/>
      <c r="L198" s="412"/>
      <c r="M198" s="412"/>
      <c r="N198" s="412"/>
      <c r="O198" s="412"/>
      <c r="P198" s="412"/>
      <c r="Q198" s="412"/>
    </row>
    <row r="199" spans="1:17" ht="15" customHeight="1">
      <c r="A199" s="74"/>
      <c r="B199" s="74"/>
      <c r="C199" s="70" t="s">
        <v>328</v>
      </c>
      <c r="D199" s="629" t="s">
        <v>67</v>
      </c>
      <c r="E199" s="384"/>
      <c r="F199" s="11">
        <v>134913</v>
      </c>
      <c r="G199" s="412">
        <f>0+'[1]táj.2'!G199</f>
        <v>0</v>
      </c>
      <c r="H199" s="412">
        <f>0+'[1]táj.2'!H199</f>
        <v>0</v>
      </c>
      <c r="I199" s="412">
        <f>0+'[1]táj.2'!I199</f>
        <v>0</v>
      </c>
      <c r="J199" s="412">
        <f>0+'[1]táj.2'!J199</f>
        <v>0</v>
      </c>
      <c r="K199" s="412">
        <f>0+'[1]táj.2'!K199</f>
        <v>0</v>
      </c>
      <c r="L199" s="412">
        <f>0+'[1]táj.2'!L199</f>
        <v>0</v>
      </c>
      <c r="M199" s="412">
        <f>5000+'[1]táj.2'!M199</f>
        <v>0</v>
      </c>
      <c r="N199" s="412">
        <f>0+'[1]táj.2'!N199</f>
        <v>0</v>
      </c>
      <c r="O199" s="412">
        <f>0+'[1]táj.2'!O199</f>
        <v>0</v>
      </c>
      <c r="P199" s="412">
        <f>0+'[1]táj.2'!P199</f>
        <v>0</v>
      </c>
      <c r="Q199" s="412">
        <f>SUM(G199:P199)</f>
        <v>0</v>
      </c>
    </row>
    <row r="200" spans="1:17" ht="15" customHeight="1">
      <c r="A200" s="74"/>
      <c r="B200" s="74"/>
      <c r="C200" s="70" t="s">
        <v>1082</v>
      </c>
      <c r="D200" s="629" t="s">
        <v>1329</v>
      </c>
      <c r="E200" s="386"/>
      <c r="F200" s="11">
        <v>132910</v>
      </c>
      <c r="G200" s="412">
        <f>0+'[1]táj.2'!G200</f>
        <v>0</v>
      </c>
      <c r="H200" s="412">
        <f>0+'[1]táj.2'!H200</f>
        <v>0</v>
      </c>
      <c r="I200" s="412">
        <f>0+'[1]táj.2'!I200</f>
        <v>0</v>
      </c>
      <c r="J200" s="412">
        <f>0+'[1]táj.2'!J200</f>
        <v>0</v>
      </c>
      <c r="K200" s="412">
        <f>0+'[1]táj.2'!K200</f>
        <v>0</v>
      </c>
      <c r="L200" s="412">
        <f>5000+'[1]táj.2'!L200</f>
        <v>5000</v>
      </c>
      <c r="M200" s="412">
        <f>0+'[1]táj.2'!M200</f>
        <v>0</v>
      </c>
      <c r="N200" s="412">
        <f>0+'[1]táj.2'!N200</f>
        <v>0</v>
      </c>
      <c r="O200" s="412">
        <f>0+'[1]táj.2'!O200</f>
        <v>0</v>
      </c>
      <c r="P200" s="412">
        <f>0+'[1]táj.2'!P200</f>
        <v>0</v>
      </c>
      <c r="Q200" s="412">
        <f>SUM(G200:P200)</f>
        <v>5000</v>
      </c>
    </row>
    <row r="201" spans="1:17" ht="15" customHeight="1">
      <c r="A201" s="74"/>
      <c r="B201" s="74"/>
      <c r="C201" s="70" t="s">
        <v>1085</v>
      </c>
      <c r="D201" s="629" t="s">
        <v>1452</v>
      </c>
      <c r="E201" s="386"/>
      <c r="F201" s="11">
        <v>132999</v>
      </c>
      <c r="G201" s="412">
        <f>0+'[1]táj.2'!G201</f>
        <v>0</v>
      </c>
      <c r="H201" s="412">
        <f>0+'[1]táj.2'!H201</f>
        <v>0</v>
      </c>
      <c r="I201" s="412">
        <f>0+'[1]táj.2'!I201</f>
        <v>0</v>
      </c>
      <c r="J201" s="412">
        <f>0+'[1]táj.2'!J201</f>
        <v>0</v>
      </c>
      <c r="K201" s="412">
        <f>0+'[1]táj.2'!K201</f>
        <v>0</v>
      </c>
      <c r="L201" s="412">
        <f>100+'[1]táj.2'!L201</f>
        <v>100</v>
      </c>
      <c r="M201" s="412">
        <f>0+'[1]táj.2'!M201</f>
        <v>0</v>
      </c>
      <c r="N201" s="412">
        <f>0+'[1]táj.2'!N201</f>
        <v>0</v>
      </c>
      <c r="O201" s="412">
        <f>0+'[1]táj.2'!O201</f>
        <v>0</v>
      </c>
      <c r="P201" s="412">
        <f>0+'[1]táj.2'!P201</f>
        <v>0</v>
      </c>
      <c r="Q201" s="412">
        <f>SUM(G201:P201)</f>
        <v>100</v>
      </c>
    </row>
    <row r="202" spans="1:17" ht="17.25" customHeight="1">
      <c r="A202" s="74"/>
      <c r="B202" s="74"/>
      <c r="C202" s="127" t="s">
        <v>554</v>
      </c>
      <c r="D202" s="708" t="s">
        <v>560</v>
      </c>
      <c r="E202" s="386"/>
      <c r="F202" s="11"/>
      <c r="G202" s="412"/>
      <c r="H202" s="412"/>
      <c r="I202" s="412"/>
      <c r="J202" s="412"/>
      <c r="K202" s="412"/>
      <c r="L202" s="412"/>
      <c r="M202" s="412"/>
      <c r="N202" s="412"/>
      <c r="O202" s="412"/>
      <c r="P202" s="412"/>
      <c r="Q202" s="412"/>
    </row>
    <row r="203" spans="1:17" ht="26.25" customHeight="1">
      <c r="A203" s="74"/>
      <c r="B203" s="74"/>
      <c r="C203" s="127" t="s">
        <v>1078</v>
      </c>
      <c r="D203" s="629" t="s">
        <v>41</v>
      </c>
      <c r="E203" s="386"/>
      <c r="F203" s="11">
        <v>132916</v>
      </c>
      <c r="G203" s="412">
        <f>0+'[1]táj.2'!G203</f>
        <v>0</v>
      </c>
      <c r="H203" s="412">
        <f>0+'[1]táj.2'!H203</f>
        <v>0</v>
      </c>
      <c r="I203" s="412">
        <f>0+'[1]táj.2'!I203</f>
        <v>0</v>
      </c>
      <c r="J203" s="412">
        <f>0+'[1]táj.2'!J203</f>
        <v>0</v>
      </c>
      <c r="K203" s="412">
        <f>0+'[1]táj.2'!K203</f>
        <v>0</v>
      </c>
      <c r="L203" s="412">
        <f>0+'[1]táj.2'!L203</f>
        <v>0</v>
      </c>
      <c r="M203" s="412">
        <f>0+'[1]táj.2'!M203</f>
        <v>0</v>
      </c>
      <c r="N203" s="412">
        <f>2000+'[1]táj.2'!N203</f>
        <v>2000</v>
      </c>
      <c r="O203" s="412">
        <f>0+'[1]táj.2'!O203</f>
        <v>0</v>
      </c>
      <c r="P203" s="412">
        <f>0+'[1]táj.2'!P203</f>
        <v>0</v>
      </c>
      <c r="Q203" s="412">
        <f>SUM(G203:P203)</f>
        <v>2000</v>
      </c>
    </row>
    <row r="204" spans="1:17" ht="15" customHeight="1">
      <c r="A204" s="74"/>
      <c r="B204" s="74"/>
      <c r="C204" s="128" t="s">
        <v>553</v>
      </c>
      <c r="D204" s="136" t="s">
        <v>686</v>
      </c>
      <c r="E204" s="386"/>
      <c r="F204" s="12"/>
      <c r="G204" s="412"/>
      <c r="H204" s="412"/>
      <c r="I204" s="412"/>
      <c r="J204" s="412"/>
      <c r="K204" s="412"/>
      <c r="L204" s="412"/>
      <c r="M204" s="412"/>
      <c r="N204" s="412"/>
      <c r="O204" s="412"/>
      <c r="P204" s="412"/>
      <c r="Q204" s="412"/>
    </row>
    <row r="205" spans="1:17" ht="19.5" customHeight="1">
      <c r="A205" s="74"/>
      <c r="B205" s="74"/>
      <c r="C205" s="127" t="s">
        <v>314</v>
      </c>
      <c r="D205" s="95" t="s">
        <v>347</v>
      </c>
      <c r="E205" s="386"/>
      <c r="F205" s="11">
        <v>134905</v>
      </c>
      <c r="G205" s="412">
        <f>0+'[1]táj.2'!G205</f>
        <v>0</v>
      </c>
      <c r="H205" s="412">
        <f>0+'[1]táj.2'!H205</f>
        <v>0</v>
      </c>
      <c r="I205" s="412">
        <f>0+'[1]táj.2'!I205</f>
        <v>0</v>
      </c>
      <c r="J205" s="412">
        <f>0+'[1]táj.2'!J205</f>
        <v>0</v>
      </c>
      <c r="K205" s="412">
        <f>0+'[1]táj.2'!K205</f>
        <v>0</v>
      </c>
      <c r="L205" s="412">
        <f>4825+'[1]táj.2'!L205</f>
        <v>4825</v>
      </c>
      <c r="M205" s="412">
        <f>4000+'[1]táj.2'!M205</f>
        <v>4000</v>
      </c>
      <c r="N205" s="412">
        <f>4205+'[1]táj.2'!N205</f>
        <v>4205</v>
      </c>
      <c r="O205" s="412">
        <f>0+'[1]táj.2'!O205</f>
        <v>0</v>
      </c>
      <c r="P205" s="412">
        <f>0+'[1]táj.2'!P205</f>
        <v>0</v>
      </c>
      <c r="Q205" s="412">
        <f aca="true" t="shared" si="11" ref="Q205:Q212">SUM(G205:P205)</f>
        <v>13030</v>
      </c>
    </row>
    <row r="206" spans="1:17" ht="25.5" customHeight="1">
      <c r="A206" s="74"/>
      <c r="B206" s="74"/>
      <c r="C206" s="127" t="s">
        <v>315</v>
      </c>
      <c r="D206" s="629" t="s">
        <v>136</v>
      </c>
      <c r="E206" s="384"/>
      <c r="F206" s="11">
        <v>132987</v>
      </c>
      <c r="G206" s="412">
        <f>0+'[1]táj.2'!G206</f>
        <v>0</v>
      </c>
      <c r="H206" s="412">
        <f>0+'[1]táj.2'!H206</f>
        <v>0</v>
      </c>
      <c r="I206" s="412">
        <f>0+'[1]táj.2'!I206</f>
        <v>0</v>
      </c>
      <c r="J206" s="412">
        <f>0+'[1]táj.2'!J206</f>
        <v>0</v>
      </c>
      <c r="K206" s="412">
        <f>0+'[1]táj.2'!K206</f>
        <v>0</v>
      </c>
      <c r="L206" s="412">
        <f>102+'[1]táj.2'!L206</f>
        <v>102</v>
      </c>
      <c r="M206" s="412">
        <f>0+'[1]táj.2'!M206</f>
        <v>0</v>
      </c>
      <c r="N206" s="412">
        <f>0+'[1]táj.2'!N206</f>
        <v>0</v>
      </c>
      <c r="O206" s="412">
        <f>0+'[1]táj.2'!O206</f>
        <v>0</v>
      </c>
      <c r="P206" s="412">
        <f>0+'[1]táj.2'!P206</f>
        <v>0</v>
      </c>
      <c r="Q206" s="412">
        <f t="shared" si="11"/>
        <v>102</v>
      </c>
    </row>
    <row r="207" spans="1:17" ht="25.5" customHeight="1">
      <c r="A207" s="74"/>
      <c r="B207" s="74"/>
      <c r="C207" s="127" t="s">
        <v>316</v>
      </c>
      <c r="D207" s="629" t="s">
        <v>996</v>
      </c>
      <c r="E207" s="384"/>
      <c r="F207" s="11">
        <v>132988</v>
      </c>
      <c r="G207" s="412">
        <f>0+'[1]táj.2'!G207</f>
        <v>0</v>
      </c>
      <c r="H207" s="412">
        <f>0+'[1]táj.2'!H207</f>
        <v>0</v>
      </c>
      <c r="I207" s="412">
        <f>0+'[1]táj.2'!I207</f>
        <v>0</v>
      </c>
      <c r="J207" s="412">
        <f>0+'[1]táj.2'!J207</f>
        <v>0</v>
      </c>
      <c r="K207" s="412">
        <f>0+'[1]táj.2'!K207</f>
        <v>0</v>
      </c>
      <c r="L207" s="412">
        <f>353+'[1]táj.2'!L207</f>
        <v>353</v>
      </c>
      <c r="M207" s="412">
        <f>0+'[1]táj.2'!M207</f>
        <v>0</v>
      </c>
      <c r="N207" s="412">
        <f>0+'[1]táj.2'!N207</f>
        <v>0</v>
      </c>
      <c r="O207" s="412">
        <f>0+'[1]táj.2'!O207</f>
        <v>0</v>
      </c>
      <c r="P207" s="412">
        <f>0+'[1]táj.2'!P207</f>
        <v>0</v>
      </c>
      <c r="Q207" s="412">
        <f t="shared" si="11"/>
        <v>353</v>
      </c>
    </row>
    <row r="208" spans="1:17" ht="18" customHeight="1">
      <c r="A208" s="74"/>
      <c r="B208" s="74"/>
      <c r="C208" s="127" t="s">
        <v>1229</v>
      </c>
      <c r="D208" s="709" t="s">
        <v>998</v>
      </c>
      <c r="E208" s="384"/>
      <c r="F208" s="11">
        <v>134996</v>
      </c>
      <c r="G208" s="412">
        <f>0+'[1]táj.2'!G208</f>
        <v>0</v>
      </c>
      <c r="H208" s="412">
        <f>0+'[1]táj.2'!H208</f>
        <v>0</v>
      </c>
      <c r="I208" s="412">
        <f>0+'[1]táj.2'!I208</f>
        <v>0</v>
      </c>
      <c r="J208" s="412">
        <f>0+'[1]táj.2'!J208</f>
        <v>0</v>
      </c>
      <c r="K208" s="412">
        <f>0+'[1]táj.2'!K208</f>
        <v>0</v>
      </c>
      <c r="L208" s="412">
        <f>0+'[1]táj.2'!L208</f>
        <v>0</v>
      </c>
      <c r="M208" s="412">
        <f>3473+'[1]táj.2'!M208</f>
        <v>3473</v>
      </c>
      <c r="N208" s="412">
        <f>0+'[1]táj.2'!N208</f>
        <v>0</v>
      </c>
      <c r="O208" s="412">
        <f>0+'[1]táj.2'!O208</f>
        <v>0</v>
      </c>
      <c r="P208" s="412">
        <f>0+'[1]táj.2'!P208</f>
        <v>0</v>
      </c>
      <c r="Q208" s="412">
        <f t="shared" si="11"/>
        <v>3473</v>
      </c>
    </row>
    <row r="209" spans="1:17" ht="30" customHeight="1">
      <c r="A209" s="74"/>
      <c r="B209" s="74"/>
      <c r="C209" s="127" t="s">
        <v>131</v>
      </c>
      <c r="D209" s="629" t="s">
        <v>725</v>
      </c>
      <c r="E209" s="384"/>
      <c r="F209" s="11">
        <v>132989</v>
      </c>
      <c r="G209" s="412">
        <f>0+'[1]táj.2'!G209</f>
        <v>0</v>
      </c>
      <c r="H209" s="412">
        <f>0+'[1]táj.2'!H209</f>
        <v>0</v>
      </c>
      <c r="I209" s="412">
        <f>0+'[1]táj.2'!I209</f>
        <v>0</v>
      </c>
      <c r="J209" s="412">
        <f>0+'[1]táj.2'!J209</f>
        <v>0</v>
      </c>
      <c r="K209" s="412">
        <f>0+'[1]táj.2'!K209</f>
        <v>0</v>
      </c>
      <c r="L209" s="412">
        <f>0+'[1]táj.2'!L209</f>
        <v>0</v>
      </c>
      <c r="M209" s="412">
        <f>0+'[1]táj.2'!M209</f>
        <v>0</v>
      </c>
      <c r="N209" s="412">
        <f>1000+'[1]táj.2'!N209</f>
        <v>1000</v>
      </c>
      <c r="O209" s="412">
        <f>0+'[1]táj.2'!O209</f>
        <v>0</v>
      </c>
      <c r="P209" s="412">
        <f>0+'[1]táj.2'!P209</f>
        <v>0</v>
      </c>
      <c r="Q209" s="412">
        <f t="shared" si="11"/>
        <v>1000</v>
      </c>
    </row>
    <row r="210" spans="1:17" ht="30" customHeight="1">
      <c r="A210" s="74"/>
      <c r="B210" s="74"/>
      <c r="C210" s="127" t="s">
        <v>133</v>
      </c>
      <c r="D210" s="695" t="s">
        <v>148</v>
      </c>
      <c r="E210" s="384"/>
      <c r="F210" s="11">
        <v>134993</v>
      </c>
      <c r="G210" s="412">
        <f>0+'[1]táj.2'!G210</f>
        <v>0</v>
      </c>
      <c r="H210" s="412">
        <f>0+'[1]táj.2'!H210</f>
        <v>0</v>
      </c>
      <c r="I210" s="412">
        <f>0+'[1]táj.2'!I210</f>
        <v>0</v>
      </c>
      <c r="J210" s="412">
        <f>0+'[1]táj.2'!J210</f>
        <v>0</v>
      </c>
      <c r="K210" s="412">
        <f>0+'[1]táj.2'!K210</f>
        <v>0</v>
      </c>
      <c r="L210" s="412">
        <f>0+'[1]táj.2'!L210</f>
        <v>0</v>
      </c>
      <c r="M210" s="412">
        <f>1499+'[1]táj.2'!M210</f>
        <v>1499</v>
      </c>
      <c r="N210" s="412">
        <f>0+'[1]táj.2'!N210</f>
        <v>0</v>
      </c>
      <c r="O210" s="412">
        <f>0+'[1]táj.2'!O210</f>
        <v>0</v>
      </c>
      <c r="P210" s="412">
        <f>0+'[1]táj.2'!P210</f>
        <v>0</v>
      </c>
      <c r="Q210" s="412">
        <f t="shared" si="11"/>
        <v>1499</v>
      </c>
    </row>
    <row r="211" spans="1:17" ht="29.25" customHeight="1">
      <c r="A211" s="74"/>
      <c r="B211" s="74"/>
      <c r="C211" s="127" t="s">
        <v>134</v>
      </c>
      <c r="D211" s="95" t="s">
        <v>132</v>
      </c>
      <c r="E211" s="386"/>
      <c r="F211" s="11">
        <v>134987</v>
      </c>
      <c r="G211" s="412">
        <f>0+'[1]táj.2'!G211</f>
        <v>0</v>
      </c>
      <c r="H211" s="412">
        <f>0+'[1]táj.2'!H211</f>
        <v>0</v>
      </c>
      <c r="I211" s="412">
        <f>0+'[1]táj.2'!I211</f>
        <v>0</v>
      </c>
      <c r="J211" s="412">
        <f>0+'[1]táj.2'!J211</f>
        <v>0</v>
      </c>
      <c r="K211" s="412">
        <f>0+'[1]táj.2'!K211</f>
        <v>0</v>
      </c>
      <c r="L211" s="412">
        <f>602+'[1]táj.2'!L211</f>
        <v>602</v>
      </c>
      <c r="M211" s="412">
        <f>0+'[1]táj.2'!M211</f>
        <v>0</v>
      </c>
      <c r="N211" s="412">
        <f>0+'[1]táj.2'!N211</f>
        <v>0</v>
      </c>
      <c r="O211" s="412">
        <f>0+'[1]táj.2'!O211</f>
        <v>0</v>
      </c>
      <c r="P211" s="412">
        <f>0+'[1]táj.2'!P211</f>
        <v>0</v>
      </c>
      <c r="Q211" s="412">
        <f t="shared" si="11"/>
        <v>602</v>
      </c>
    </row>
    <row r="212" spans="1:17" ht="26.25" customHeight="1">
      <c r="A212" s="74"/>
      <c r="B212" s="74"/>
      <c r="C212" s="127" t="s">
        <v>348</v>
      </c>
      <c r="D212" s="95" t="s">
        <v>818</v>
      </c>
      <c r="E212" s="386"/>
      <c r="F212" s="11">
        <v>134988</v>
      </c>
      <c r="G212" s="412">
        <f>0+'[1]táj.2'!G212</f>
        <v>0</v>
      </c>
      <c r="H212" s="412">
        <f>0+'[1]táj.2'!H212</f>
        <v>0</v>
      </c>
      <c r="I212" s="412">
        <f>0+'[1]táj.2'!I212</f>
        <v>0</v>
      </c>
      <c r="J212" s="412">
        <f>0+'[1]táj.2'!J212</f>
        <v>0</v>
      </c>
      <c r="K212" s="412">
        <f>0+'[1]táj.2'!K212</f>
        <v>0</v>
      </c>
      <c r="L212" s="412">
        <f>8496+'[1]táj.2'!L212</f>
        <v>8496</v>
      </c>
      <c r="M212" s="412">
        <f>0+'[1]táj.2'!M212</f>
        <v>0</v>
      </c>
      <c r="N212" s="412">
        <f>0+'[1]táj.2'!N212</f>
        <v>0</v>
      </c>
      <c r="O212" s="412">
        <f>0+'[1]táj.2'!O212</f>
        <v>0</v>
      </c>
      <c r="P212" s="412">
        <f>0+'[1]táj.2'!P212</f>
        <v>0</v>
      </c>
      <c r="Q212" s="412">
        <f t="shared" si="11"/>
        <v>8496</v>
      </c>
    </row>
    <row r="213" spans="1:17" ht="18.75" customHeight="1">
      <c r="A213" s="65"/>
      <c r="B213" s="65"/>
      <c r="C213" s="126"/>
      <c r="D213" s="104" t="s">
        <v>642</v>
      </c>
      <c r="E213" s="385"/>
      <c r="F213" s="69"/>
      <c r="G213" s="204">
        <f aca="true" t="shared" si="12" ref="G213:Q213">SUM(G166:G212)</f>
        <v>4123</v>
      </c>
      <c r="H213" s="204">
        <f t="shared" si="12"/>
        <v>1687</v>
      </c>
      <c r="I213" s="204">
        <f t="shared" si="12"/>
        <v>46223</v>
      </c>
      <c r="J213" s="204">
        <f t="shared" si="12"/>
        <v>5600</v>
      </c>
      <c r="K213" s="204">
        <f t="shared" si="12"/>
        <v>651919</v>
      </c>
      <c r="L213" s="204">
        <f t="shared" si="12"/>
        <v>27129</v>
      </c>
      <c r="M213" s="204">
        <f t="shared" si="12"/>
        <v>19795</v>
      </c>
      <c r="N213" s="204">
        <f t="shared" si="12"/>
        <v>32715</v>
      </c>
      <c r="O213" s="204">
        <f t="shared" si="12"/>
        <v>0</v>
      </c>
      <c r="P213" s="204">
        <f t="shared" si="12"/>
        <v>0</v>
      </c>
      <c r="Q213" s="204">
        <f t="shared" si="12"/>
        <v>789191</v>
      </c>
    </row>
    <row r="214" spans="1:17" ht="12.75" customHeight="1">
      <c r="A214" s="74">
        <v>1</v>
      </c>
      <c r="B214" s="74">
        <v>14</v>
      </c>
      <c r="C214" s="128"/>
      <c r="D214" s="136" t="s">
        <v>1190</v>
      </c>
      <c r="E214" s="386"/>
      <c r="F214" s="12"/>
      <c r="G214" s="13"/>
      <c r="H214" s="6"/>
      <c r="I214" s="6"/>
      <c r="J214" s="6"/>
      <c r="K214" s="6"/>
      <c r="L214" s="6"/>
      <c r="M214" s="12"/>
      <c r="N214" s="12"/>
      <c r="O214" s="12"/>
      <c r="P214" s="12"/>
      <c r="Q214" s="12"/>
    </row>
    <row r="215" spans="1:17" ht="12.75" customHeight="1">
      <c r="A215" s="74"/>
      <c r="B215" s="74"/>
      <c r="C215" s="128"/>
      <c r="D215" s="101" t="s">
        <v>816</v>
      </c>
      <c r="E215" s="386"/>
      <c r="F215" s="12"/>
      <c r="G215" s="13"/>
      <c r="H215" s="6"/>
      <c r="I215" s="6"/>
      <c r="J215" s="6"/>
      <c r="K215" s="6"/>
      <c r="L215" s="6"/>
      <c r="M215" s="12"/>
      <c r="N215" s="12"/>
      <c r="O215" s="12"/>
      <c r="P215" s="12"/>
      <c r="Q215" s="12"/>
    </row>
    <row r="216" spans="1:17" ht="12.75" customHeight="1">
      <c r="A216" s="74"/>
      <c r="B216" s="74"/>
      <c r="C216" s="128"/>
      <c r="D216" s="133" t="s">
        <v>1192</v>
      </c>
      <c r="E216" s="10">
        <v>1</v>
      </c>
      <c r="F216" s="11">
        <v>171918</v>
      </c>
      <c r="G216" s="71">
        <f>0+'[1]táj.2'!G216</f>
        <v>0</v>
      </c>
      <c r="H216" s="71">
        <f>0+'[1]táj.2'!H216</f>
        <v>0</v>
      </c>
      <c r="I216" s="71">
        <f>1100+'[1]táj.2'!I216</f>
        <v>1100</v>
      </c>
      <c r="J216" s="71">
        <f>0+'[1]táj.2'!J216</f>
        <v>0</v>
      </c>
      <c r="K216" s="71">
        <f>0+'[1]táj.2'!K216</f>
        <v>0</v>
      </c>
      <c r="L216" s="71">
        <f>0+'[1]táj.2'!L216</f>
        <v>0</v>
      </c>
      <c r="M216" s="71">
        <f>0+'[1]táj.2'!M216</f>
        <v>0</v>
      </c>
      <c r="N216" s="71">
        <f>0+'[1]táj.2'!N216</f>
        <v>0</v>
      </c>
      <c r="O216" s="71">
        <f>0+'[1]táj.2'!O216</f>
        <v>0</v>
      </c>
      <c r="P216" s="71">
        <f>0+'[1]táj.2'!P216</f>
        <v>0</v>
      </c>
      <c r="Q216" s="11">
        <f>SUM(G216:P216)</f>
        <v>1100</v>
      </c>
    </row>
    <row r="217" spans="1:17" ht="30" customHeight="1">
      <c r="A217" s="74"/>
      <c r="B217" s="74"/>
      <c r="C217" s="128"/>
      <c r="D217" s="95" t="s">
        <v>1060</v>
      </c>
      <c r="E217" s="10">
        <v>1</v>
      </c>
      <c r="F217" s="11">
        <v>171922</v>
      </c>
      <c r="G217" s="71">
        <f>0+'[1]táj.2'!G217</f>
        <v>0</v>
      </c>
      <c r="H217" s="71">
        <f>0+'[1]táj.2'!H217</f>
        <v>0</v>
      </c>
      <c r="I217" s="71">
        <f>2158+'[1]táj.2'!I217</f>
        <v>2158</v>
      </c>
      <c r="J217" s="71">
        <f>0+'[1]táj.2'!J217</f>
        <v>0</v>
      </c>
      <c r="K217" s="71">
        <f>0+'[1]táj.2'!K217</f>
        <v>0</v>
      </c>
      <c r="L217" s="71">
        <f>0+'[1]táj.2'!L217</f>
        <v>0</v>
      </c>
      <c r="M217" s="71">
        <f>0+'[1]táj.2'!M217</f>
        <v>0</v>
      </c>
      <c r="N217" s="71">
        <f>0+'[1]táj.2'!N217</f>
        <v>0</v>
      </c>
      <c r="O217" s="71">
        <f>0+'[1]táj.2'!O217</f>
        <v>0</v>
      </c>
      <c r="P217" s="71">
        <f>0+'[1]táj.2'!P217</f>
        <v>0</v>
      </c>
      <c r="Q217" s="11">
        <f>SUM(G217:P217)</f>
        <v>2158</v>
      </c>
    </row>
    <row r="218" spans="1:17" ht="12.75" customHeight="1">
      <c r="A218" s="74"/>
      <c r="B218" s="74"/>
      <c r="C218" s="128"/>
      <c r="D218" s="133" t="s">
        <v>1189</v>
      </c>
      <c r="E218" s="10">
        <v>1</v>
      </c>
      <c r="F218" s="11">
        <v>171926</v>
      </c>
      <c r="G218" s="71">
        <f>0+'[1]táj.2'!G218</f>
        <v>0</v>
      </c>
      <c r="H218" s="71">
        <f>0+'[1]táj.2'!H218</f>
        <v>0</v>
      </c>
      <c r="I218" s="71">
        <f>1500+'[1]táj.2'!I218</f>
        <v>1500</v>
      </c>
      <c r="J218" s="71">
        <f>0+'[1]táj.2'!J218</f>
        <v>0</v>
      </c>
      <c r="K218" s="71">
        <f>0+'[1]táj.2'!K218</f>
        <v>0</v>
      </c>
      <c r="L218" s="71">
        <f>0+'[1]táj.2'!L218</f>
        <v>0</v>
      </c>
      <c r="M218" s="71">
        <f>0+'[1]táj.2'!M218</f>
        <v>0</v>
      </c>
      <c r="N218" s="71">
        <f>0+'[1]táj.2'!N218</f>
        <v>0</v>
      </c>
      <c r="O218" s="71">
        <f>0+'[1]táj.2'!O218</f>
        <v>0</v>
      </c>
      <c r="P218" s="71">
        <f>0+'[1]táj.2'!P218</f>
        <v>0</v>
      </c>
      <c r="Q218" s="11">
        <f>SUM(G218:P218)</f>
        <v>1500</v>
      </c>
    </row>
    <row r="219" spans="1:17" ht="12.75" customHeight="1">
      <c r="A219" s="74"/>
      <c r="B219" s="74"/>
      <c r="C219" s="128"/>
      <c r="D219" s="133" t="s">
        <v>698</v>
      </c>
      <c r="E219" s="10">
        <v>1</v>
      </c>
      <c r="F219" s="11">
        <v>171967</v>
      </c>
      <c r="G219" s="71">
        <f>0+'[1]táj.2'!G219</f>
        <v>0</v>
      </c>
      <c r="H219" s="71">
        <f>0+'[1]táj.2'!H219</f>
        <v>0</v>
      </c>
      <c r="I219" s="71">
        <f>4000+'[1]táj.2'!I219</f>
        <v>4000</v>
      </c>
      <c r="J219" s="71">
        <f>0+'[1]táj.2'!J219</f>
        <v>0</v>
      </c>
      <c r="K219" s="71">
        <f>0+'[1]táj.2'!K219</f>
        <v>0</v>
      </c>
      <c r="L219" s="71">
        <f>0+'[1]táj.2'!L219</f>
        <v>0</v>
      </c>
      <c r="M219" s="71">
        <f>0+'[1]táj.2'!M219</f>
        <v>0</v>
      </c>
      <c r="N219" s="71">
        <f>0+'[1]táj.2'!N219</f>
        <v>0</v>
      </c>
      <c r="O219" s="71">
        <f>0+'[1]táj.2'!O219</f>
        <v>0</v>
      </c>
      <c r="P219" s="71">
        <f>0+'[1]táj.2'!P219</f>
        <v>0</v>
      </c>
      <c r="Q219" s="11">
        <f>SUM(G219:P219)</f>
        <v>4000</v>
      </c>
    </row>
    <row r="220" spans="1:17" ht="12.75" customHeight="1">
      <c r="A220" s="65"/>
      <c r="B220" s="65"/>
      <c r="C220" s="126"/>
      <c r="D220" s="104" t="s">
        <v>306</v>
      </c>
      <c r="E220" s="407"/>
      <c r="F220" s="413"/>
      <c r="G220" s="390">
        <f aca="true" t="shared" si="13" ref="G220:Q220">SUM(G216:G219)</f>
        <v>0</v>
      </c>
      <c r="H220" s="205">
        <f t="shared" si="13"/>
        <v>0</v>
      </c>
      <c r="I220" s="205">
        <f t="shared" si="13"/>
        <v>8758</v>
      </c>
      <c r="J220" s="205">
        <f t="shared" si="13"/>
        <v>0</v>
      </c>
      <c r="K220" s="205">
        <f t="shared" si="13"/>
        <v>0</v>
      </c>
      <c r="L220" s="205">
        <f t="shared" si="13"/>
        <v>0</v>
      </c>
      <c r="M220" s="205">
        <f t="shared" si="13"/>
        <v>0</v>
      </c>
      <c r="N220" s="205">
        <f t="shared" si="13"/>
        <v>0</v>
      </c>
      <c r="O220" s="205">
        <f t="shared" si="13"/>
        <v>0</v>
      </c>
      <c r="P220" s="205">
        <f t="shared" si="13"/>
        <v>0</v>
      </c>
      <c r="Q220" s="205">
        <f t="shared" si="13"/>
        <v>8758</v>
      </c>
    </row>
    <row r="221" spans="1:17" ht="12.75" customHeight="1">
      <c r="A221" s="74"/>
      <c r="B221" s="74"/>
      <c r="C221" s="128"/>
      <c r="D221" s="278" t="s">
        <v>242</v>
      </c>
      <c r="E221" s="384"/>
      <c r="F221" s="11"/>
      <c r="G221" s="660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1:17" ht="12.75" customHeight="1">
      <c r="A222" s="74"/>
      <c r="B222" s="74"/>
      <c r="C222" s="710"/>
      <c r="D222" s="133" t="s">
        <v>686</v>
      </c>
      <c r="E222" s="250"/>
      <c r="F222" s="11"/>
      <c r="G222" s="660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ht="12.75" customHeight="1">
      <c r="A223" s="74"/>
      <c r="B223" s="74"/>
      <c r="C223" s="711" t="s">
        <v>388</v>
      </c>
      <c r="D223" s="271" t="s">
        <v>804</v>
      </c>
      <c r="E223" s="250"/>
      <c r="F223" s="11">
        <v>162650</v>
      </c>
      <c r="G223" s="660">
        <f>0+'[1]táj.2'!G223</f>
        <v>0</v>
      </c>
      <c r="H223" s="660">
        <f>0+'[1]táj.2'!H223</f>
        <v>0</v>
      </c>
      <c r="I223" s="660">
        <f>0+'[1]táj.2'!I223</f>
        <v>0</v>
      </c>
      <c r="J223" s="660">
        <f>0+'[1]táj.2'!J223</f>
        <v>0</v>
      </c>
      <c r="K223" s="660">
        <f>0+'[1]táj.2'!K223</f>
        <v>0</v>
      </c>
      <c r="L223" s="660">
        <f>11665+'[1]táj.2'!L223</f>
        <v>11665</v>
      </c>
      <c r="M223" s="660">
        <f>0+'[1]táj.2'!M223</f>
        <v>0</v>
      </c>
      <c r="N223" s="660">
        <f>0+'[1]táj.2'!N223</f>
        <v>0</v>
      </c>
      <c r="O223" s="660">
        <f>0+'[1]táj.2'!O223</f>
        <v>0</v>
      </c>
      <c r="P223" s="660">
        <f>0+'[1]táj.2'!P223</f>
        <v>0</v>
      </c>
      <c r="Q223" s="6">
        <f>SUM(G223:P223)</f>
        <v>11665</v>
      </c>
    </row>
    <row r="224" spans="1:17" ht="12.75" customHeight="1">
      <c r="A224" s="74"/>
      <c r="B224" s="74"/>
      <c r="C224" s="711" t="s">
        <v>389</v>
      </c>
      <c r="D224" s="712" t="s">
        <v>928</v>
      </c>
      <c r="E224" s="250"/>
      <c r="F224" s="11">
        <v>164903</v>
      </c>
      <c r="G224" s="660">
        <f>0+'[1]táj.2'!G224</f>
        <v>0</v>
      </c>
      <c r="H224" s="660">
        <f>0+'[1]táj.2'!H224</f>
        <v>0</v>
      </c>
      <c r="I224" s="660">
        <f>0+'[1]táj.2'!I224</f>
        <v>0</v>
      </c>
      <c r="J224" s="660">
        <f>0+'[1]táj.2'!J224</f>
        <v>0</v>
      </c>
      <c r="K224" s="660">
        <f>0+'[1]táj.2'!K224</f>
        <v>0</v>
      </c>
      <c r="L224" s="660">
        <f>0+'[1]táj.2'!L224</f>
        <v>0</v>
      </c>
      <c r="M224" s="660">
        <f>0+'[1]táj.2'!M224</f>
        <v>0</v>
      </c>
      <c r="N224" s="660">
        <f>6612+'[1]táj.2'!N224</f>
        <v>6612</v>
      </c>
      <c r="O224" s="660">
        <f>0+'[1]táj.2'!O224</f>
        <v>0</v>
      </c>
      <c r="P224" s="660">
        <f>0+'[1]táj.2'!P224</f>
        <v>0</v>
      </c>
      <c r="Q224" s="6">
        <f>SUM(G224:P224)</f>
        <v>6612</v>
      </c>
    </row>
    <row r="225" spans="1:17" ht="12.75" customHeight="1">
      <c r="A225" s="74"/>
      <c r="B225" s="74"/>
      <c r="C225" s="711" t="s">
        <v>395</v>
      </c>
      <c r="D225" s="713" t="s">
        <v>391</v>
      </c>
      <c r="E225" s="690"/>
      <c r="F225" s="11">
        <v>154918</v>
      </c>
      <c r="G225" s="660">
        <f>0+'[1]táj.2'!G225</f>
        <v>0</v>
      </c>
      <c r="H225" s="660">
        <f>0+'[1]táj.2'!H225</f>
        <v>0</v>
      </c>
      <c r="I225" s="660">
        <f>0+'[1]táj.2'!I225</f>
        <v>0</v>
      </c>
      <c r="J225" s="660">
        <f>0+'[1]táj.2'!J225</f>
        <v>0</v>
      </c>
      <c r="K225" s="660">
        <f>0+'[1]táj.2'!K225</f>
        <v>0</v>
      </c>
      <c r="L225" s="660">
        <f>0+'[1]táj.2'!L225</f>
        <v>0</v>
      </c>
      <c r="M225" s="660">
        <f>500+'[1]táj.2'!M225</f>
        <v>500</v>
      </c>
      <c r="N225" s="660">
        <f>0+'[1]táj.2'!N225</f>
        <v>0</v>
      </c>
      <c r="O225" s="660">
        <f>0+'[1]táj.2'!O225</f>
        <v>0</v>
      </c>
      <c r="P225" s="660">
        <f>0+'[1]táj.2'!P225</f>
        <v>0</v>
      </c>
      <c r="Q225" s="6">
        <f>SUM(G225:P225)</f>
        <v>500</v>
      </c>
    </row>
    <row r="226" spans="1:17" ht="12.75" customHeight="1">
      <c r="A226" s="65"/>
      <c r="B226" s="65"/>
      <c r="C226" s="126"/>
      <c r="D226" s="104" t="s">
        <v>1191</v>
      </c>
      <c r="E226" s="407"/>
      <c r="F226" s="69"/>
      <c r="G226" s="714">
        <f aca="true" t="shared" si="14" ref="G226:Q226">SUM(G220:G225)</f>
        <v>0</v>
      </c>
      <c r="H226" s="8">
        <f t="shared" si="14"/>
        <v>0</v>
      </c>
      <c r="I226" s="8">
        <f t="shared" si="14"/>
        <v>8758</v>
      </c>
      <c r="J226" s="8">
        <f t="shared" si="14"/>
        <v>0</v>
      </c>
      <c r="K226" s="8">
        <f t="shared" si="14"/>
        <v>0</v>
      </c>
      <c r="L226" s="8">
        <f t="shared" si="14"/>
        <v>11665</v>
      </c>
      <c r="M226" s="8">
        <f t="shared" si="14"/>
        <v>500</v>
      </c>
      <c r="N226" s="8">
        <f t="shared" si="14"/>
        <v>6612</v>
      </c>
      <c r="O226" s="8">
        <f t="shared" si="14"/>
        <v>0</v>
      </c>
      <c r="P226" s="8">
        <f t="shared" si="14"/>
        <v>0</v>
      </c>
      <c r="Q226" s="8">
        <f t="shared" si="14"/>
        <v>27535</v>
      </c>
    </row>
    <row r="227" spans="1:17" ht="13.5" customHeight="1">
      <c r="A227" s="70">
        <v>1</v>
      </c>
      <c r="B227" s="70">
        <v>15</v>
      </c>
      <c r="C227" s="127"/>
      <c r="D227" s="136" t="s">
        <v>196</v>
      </c>
      <c r="E227" s="384"/>
      <c r="F227" s="11"/>
      <c r="G227" s="71"/>
      <c r="H227" s="6"/>
      <c r="I227" s="6"/>
      <c r="J227" s="6"/>
      <c r="K227" s="6"/>
      <c r="L227" s="6"/>
      <c r="M227" s="11"/>
      <c r="N227" s="11"/>
      <c r="O227" s="11"/>
      <c r="P227" s="11"/>
      <c r="Q227" s="11"/>
    </row>
    <row r="228" spans="1:17" ht="13.5" customHeight="1">
      <c r="A228" s="70"/>
      <c r="B228" s="70"/>
      <c r="C228" s="127"/>
      <c r="D228" s="261" t="s">
        <v>747</v>
      </c>
      <c r="E228" s="384"/>
      <c r="F228" s="11"/>
      <c r="G228" s="71"/>
      <c r="H228" s="6"/>
      <c r="I228" s="6"/>
      <c r="J228" s="6"/>
      <c r="K228" s="6"/>
      <c r="L228" s="6"/>
      <c r="M228" s="11"/>
      <c r="N228" s="11"/>
      <c r="O228" s="11"/>
      <c r="P228" s="11"/>
      <c r="Q228" s="11"/>
    </row>
    <row r="229" spans="1:17" ht="13.5" customHeight="1">
      <c r="A229" s="70"/>
      <c r="B229" s="70"/>
      <c r="C229" s="127"/>
      <c r="D229" s="133" t="s">
        <v>197</v>
      </c>
      <c r="E229" s="10">
        <v>1</v>
      </c>
      <c r="F229" s="11">
        <v>151502</v>
      </c>
      <c r="G229" s="71">
        <f>0+'[1]táj.2'!G229</f>
        <v>0</v>
      </c>
      <c r="H229" s="71">
        <f>0+'[1]táj.2'!H229</f>
        <v>0</v>
      </c>
      <c r="I229" s="71">
        <f>25643+'[1]táj.2'!I229</f>
        <v>25643</v>
      </c>
      <c r="J229" s="71">
        <f>0+'[1]táj.2'!J229</f>
        <v>0</v>
      </c>
      <c r="K229" s="71">
        <f>0+'[1]táj.2'!K229</f>
        <v>0</v>
      </c>
      <c r="L229" s="71">
        <f>0+'[1]táj.2'!L229</f>
        <v>2000</v>
      </c>
      <c r="M229" s="71">
        <f>0+'[1]táj.2'!M229</f>
        <v>0</v>
      </c>
      <c r="N229" s="71">
        <f>0+'[1]táj.2'!N229</f>
        <v>0</v>
      </c>
      <c r="O229" s="71">
        <f>0+'[1]táj.2'!O229</f>
        <v>0</v>
      </c>
      <c r="P229" s="71">
        <f>0+'[1]táj.2'!P229</f>
        <v>0</v>
      </c>
      <c r="Q229" s="11">
        <f aca="true" t="shared" si="15" ref="Q229:Q253">SUM(G229:P229)</f>
        <v>27643</v>
      </c>
    </row>
    <row r="230" spans="1:17" ht="13.5" customHeight="1">
      <c r="A230" s="70"/>
      <c r="B230" s="70"/>
      <c r="C230" s="127"/>
      <c r="D230" s="133" t="s">
        <v>198</v>
      </c>
      <c r="E230" s="10">
        <v>1</v>
      </c>
      <c r="F230" s="11">
        <v>151504</v>
      </c>
      <c r="G230" s="71">
        <f>0+'[1]táj.2'!G230</f>
        <v>0</v>
      </c>
      <c r="H230" s="71">
        <f>0+'[1]táj.2'!H230</f>
        <v>0</v>
      </c>
      <c r="I230" s="71">
        <f>142058+'[1]táj.2'!I230</f>
        <v>142758</v>
      </c>
      <c r="J230" s="71">
        <f>0+'[1]táj.2'!J230</f>
        <v>0</v>
      </c>
      <c r="K230" s="71">
        <f>0+'[1]táj.2'!K230</f>
        <v>0</v>
      </c>
      <c r="L230" s="71">
        <f>0+'[1]táj.2'!L230</f>
        <v>0</v>
      </c>
      <c r="M230" s="71">
        <f>0+'[1]táj.2'!M230</f>
        <v>0</v>
      </c>
      <c r="N230" s="71">
        <f>0+'[1]táj.2'!N230</f>
        <v>0</v>
      </c>
      <c r="O230" s="71">
        <f>0+'[1]táj.2'!O230</f>
        <v>0</v>
      </c>
      <c r="P230" s="71">
        <f>0+'[1]táj.2'!P230</f>
        <v>0</v>
      </c>
      <c r="Q230" s="11">
        <f t="shared" si="15"/>
        <v>142758</v>
      </c>
    </row>
    <row r="231" spans="1:17" ht="13.5" customHeight="1">
      <c r="A231" s="70"/>
      <c r="B231" s="70"/>
      <c r="C231" s="127"/>
      <c r="D231" s="262" t="s">
        <v>357</v>
      </c>
      <c r="E231" s="10">
        <v>1</v>
      </c>
      <c r="F231" s="11">
        <v>151501</v>
      </c>
      <c r="G231" s="71">
        <f>0+'[1]táj.2'!G231</f>
        <v>0</v>
      </c>
      <c r="H231" s="71">
        <f>0+'[1]táj.2'!H231</f>
        <v>0</v>
      </c>
      <c r="I231" s="71">
        <f>9003+'[1]táj.2'!I231</f>
        <v>9003</v>
      </c>
      <c r="J231" s="71">
        <f>0+'[1]táj.2'!J231</f>
        <v>0</v>
      </c>
      <c r="K231" s="71">
        <f>0+'[1]táj.2'!K231</f>
        <v>0</v>
      </c>
      <c r="L231" s="71">
        <f>0+'[1]táj.2'!L231</f>
        <v>0</v>
      </c>
      <c r="M231" s="71">
        <f>0+'[1]táj.2'!M231</f>
        <v>0</v>
      </c>
      <c r="N231" s="71">
        <f>0+'[1]táj.2'!N231</f>
        <v>0</v>
      </c>
      <c r="O231" s="71">
        <f>0+'[1]táj.2'!O231</f>
        <v>0</v>
      </c>
      <c r="P231" s="71">
        <f>0+'[1]táj.2'!P231</f>
        <v>0</v>
      </c>
      <c r="Q231" s="11">
        <f t="shared" si="15"/>
        <v>9003</v>
      </c>
    </row>
    <row r="232" spans="1:17" ht="13.5" customHeight="1">
      <c r="A232" s="70"/>
      <c r="B232" s="70"/>
      <c r="C232" s="127"/>
      <c r="D232" s="262" t="s">
        <v>1271</v>
      </c>
      <c r="E232" s="10">
        <v>1</v>
      </c>
      <c r="F232" s="11">
        <v>151905</v>
      </c>
      <c r="G232" s="71">
        <f>0+'[1]táj.2'!G232</f>
        <v>0</v>
      </c>
      <c r="H232" s="71">
        <f>0+'[1]táj.2'!H232</f>
        <v>0</v>
      </c>
      <c r="I232" s="71">
        <f>800+'[1]táj.2'!I232</f>
        <v>800</v>
      </c>
      <c r="J232" s="71">
        <f>0+'[1]táj.2'!J232</f>
        <v>0</v>
      </c>
      <c r="K232" s="71">
        <f>0+'[1]táj.2'!K232</f>
        <v>0</v>
      </c>
      <c r="L232" s="71">
        <f>0+'[1]táj.2'!L232</f>
        <v>0</v>
      </c>
      <c r="M232" s="71">
        <f>0+'[1]táj.2'!M232</f>
        <v>0</v>
      </c>
      <c r="N232" s="71">
        <f>0+'[1]táj.2'!N232</f>
        <v>0</v>
      </c>
      <c r="O232" s="71">
        <f>0+'[1]táj.2'!O232</f>
        <v>0</v>
      </c>
      <c r="P232" s="71">
        <f>0+'[1]táj.2'!P232</f>
        <v>0</v>
      </c>
      <c r="Q232" s="11">
        <f t="shared" si="15"/>
        <v>800</v>
      </c>
    </row>
    <row r="233" spans="1:17" ht="13.5" customHeight="1">
      <c r="A233" s="70"/>
      <c r="B233" s="70"/>
      <c r="C233" s="127"/>
      <c r="D233" s="262" t="s">
        <v>248</v>
      </c>
      <c r="E233" s="10">
        <v>1</v>
      </c>
      <c r="F233" s="11">
        <v>151917</v>
      </c>
      <c r="G233" s="71">
        <f>0+'[1]táj.2'!G233</f>
        <v>0</v>
      </c>
      <c r="H233" s="71">
        <f>0+'[1]táj.2'!H233</f>
        <v>0</v>
      </c>
      <c r="I233" s="71">
        <f>1469+'[1]táj.2'!I233</f>
        <v>1469</v>
      </c>
      <c r="J233" s="71">
        <f>0+'[1]táj.2'!J233</f>
        <v>0</v>
      </c>
      <c r="K233" s="71">
        <f>0+'[1]táj.2'!K233</f>
        <v>0</v>
      </c>
      <c r="L233" s="71">
        <f>0+'[1]táj.2'!L233</f>
        <v>0</v>
      </c>
      <c r="M233" s="71">
        <f>0+'[1]táj.2'!M233</f>
        <v>0</v>
      </c>
      <c r="N233" s="71">
        <f>0+'[1]táj.2'!N233</f>
        <v>0</v>
      </c>
      <c r="O233" s="71">
        <f>0+'[1]táj.2'!O233</f>
        <v>0</v>
      </c>
      <c r="P233" s="71">
        <f>0+'[1]táj.2'!P233</f>
        <v>0</v>
      </c>
      <c r="Q233" s="11">
        <f t="shared" si="15"/>
        <v>1469</v>
      </c>
    </row>
    <row r="234" spans="1:17" ht="15" customHeight="1">
      <c r="A234" s="70"/>
      <c r="B234" s="70"/>
      <c r="C234" s="127"/>
      <c r="D234" s="262" t="s">
        <v>199</v>
      </c>
      <c r="E234" s="10">
        <v>2</v>
      </c>
      <c r="F234" s="11">
        <v>151503</v>
      </c>
      <c r="G234" s="71">
        <f>0+'[1]táj.2'!G234</f>
        <v>0</v>
      </c>
      <c r="H234" s="71">
        <f>0+'[1]táj.2'!H234</f>
        <v>0</v>
      </c>
      <c r="I234" s="71">
        <f>1500+'[1]táj.2'!I234</f>
        <v>2000</v>
      </c>
      <c r="J234" s="71">
        <f>0+'[1]táj.2'!J234</f>
        <v>0</v>
      </c>
      <c r="K234" s="71">
        <f>0+'[1]táj.2'!K234</f>
        <v>0</v>
      </c>
      <c r="L234" s="71">
        <f>0+'[1]táj.2'!L234</f>
        <v>0</v>
      </c>
      <c r="M234" s="71">
        <f>0+'[1]táj.2'!M234</f>
        <v>0</v>
      </c>
      <c r="N234" s="71">
        <f>0+'[1]táj.2'!N234</f>
        <v>0</v>
      </c>
      <c r="O234" s="71">
        <f>0+'[1]táj.2'!O234</f>
        <v>0</v>
      </c>
      <c r="P234" s="71">
        <f>0+'[1]táj.2'!P234</f>
        <v>0</v>
      </c>
      <c r="Q234" s="11">
        <f t="shared" si="15"/>
        <v>2000</v>
      </c>
    </row>
    <row r="235" spans="1:17" ht="15" customHeight="1">
      <c r="A235" s="70"/>
      <c r="B235" s="70"/>
      <c r="C235" s="127"/>
      <c r="D235" s="629" t="s">
        <v>1296</v>
      </c>
      <c r="E235" s="10">
        <v>2</v>
      </c>
      <c r="F235" s="11">
        <v>151526</v>
      </c>
      <c r="G235" s="71">
        <f>0+'[1]táj.2'!G235</f>
        <v>0</v>
      </c>
      <c r="H235" s="71">
        <f>0+'[1]táj.2'!H235</f>
        <v>0</v>
      </c>
      <c r="I235" s="71">
        <f>1500+'[1]táj.2'!I235</f>
        <v>1500</v>
      </c>
      <c r="J235" s="71">
        <f>0+'[1]táj.2'!J235</f>
        <v>0</v>
      </c>
      <c r="K235" s="71">
        <f>0+'[1]táj.2'!K235</f>
        <v>0</v>
      </c>
      <c r="L235" s="71">
        <f>0+'[1]táj.2'!L235</f>
        <v>0</v>
      </c>
      <c r="M235" s="71">
        <f>0+'[1]táj.2'!M235</f>
        <v>0</v>
      </c>
      <c r="N235" s="71">
        <f>0+'[1]táj.2'!N235</f>
        <v>0</v>
      </c>
      <c r="O235" s="71">
        <f>0+'[1]táj.2'!O235</f>
        <v>0</v>
      </c>
      <c r="P235" s="71">
        <f>0+'[1]táj.2'!P235</f>
        <v>0</v>
      </c>
      <c r="Q235" s="11">
        <f t="shared" si="15"/>
        <v>1500</v>
      </c>
    </row>
    <row r="236" spans="1:17" ht="15" customHeight="1">
      <c r="A236" s="70"/>
      <c r="B236" s="70"/>
      <c r="C236" s="127"/>
      <c r="D236" s="629" t="s">
        <v>1299</v>
      </c>
      <c r="E236" s="10">
        <v>2</v>
      </c>
      <c r="F236" s="11">
        <v>151527</v>
      </c>
      <c r="G236" s="71">
        <f>0+'[1]táj.2'!G236</f>
        <v>0</v>
      </c>
      <c r="H236" s="71">
        <f>0+'[1]táj.2'!H236</f>
        <v>0</v>
      </c>
      <c r="I236" s="71">
        <f>500+'[1]táj.2'!I236</f>
        <v>500</v>
      </c>
      <c r="J236" s="71">
        <f>0+'[1]táj.2'!J236</f>
        <v>0</v>
      </c>
      <c r="K236" s="71">
        <f>0+'[1]táj.2'!K236</f>
        <v>0</v>
      </c>
      <c r="L236" s="71">
        <f>0+'[1]táj.2'!L236</f>
        <v>0</v>
      </c>
      <c r="M236" s="71">
        <f>0+'[1]táj.2'!M236</f>
        <v>0</v>
      </c>
      <c r="N236" s="71">
        <f>0+'[1]táj.2'!N236</f>
        <v>0</v>
      </c>
      <c r="O236" s="71">
        <f>0+'[1]táj.2'!O236</f>
        <v>0</v>
      </c>
      <c r="P236" s="71">
        <f>0+'[1]táj.2'!P236</f>
        <v>0</v>
      </c>
      <c r="Q236" s="11">
        <f t="shared" si="15"/>
        <v>500</v>
      </c>
    </row>
    <row r="237" spans="1:17" ht="15" customHeight="1">
      <c r="A237" s="70"/>
      <c r="B237" s="70"/>
      <c r="C237" s="127"/>
      <c r="D237" s="629" t="s">
        <v>1476</v>
      </c>
      <c r="E237" s="10">
        <v>2</v>
      </c>
      <c r="F237" s="11">
        <v>151528</v>
      </c>
      <c r="G237" s="71">
        <f>0+'[1]táj.2'!G237</f>
        <v>0</v>
      </c>
      <c r="H237" s="71">
        <f>0+'[1]táj.2'!H237</f>
        <v>0</v>
      </c>
      <c r="I237" s="71">
        <f>200+'[1]táj.2'!I237</f>
        <v>200</v>
      </c>
      <c r="J237" s="71">
        <f>0+'[1]táj.2'!J237</f>
        <v>0</v>
      </c>
      <c r="K237" s="71">
        <f>0+'[1]táj.2'!K237</f>
        <v>0</v>
      </c>
      <c r="L237" s="71">
        <f>0+'[1]táj.2'!L237</f>
        <v>0</v>
      </c>
      <c r="M237" s="71">
        <f>0+'[1]táj.2'!M237</f>
        <v>0</v>
      </c>
      <c r="N237" s="71">
        <f>0+'[1]táj.2'!N237</f>
        <v>0</v>
      </c>
      <c r="O237" s="71">
        <f>0+'[1]táj.2'!O237</f>
        <v>0</v>
      </c>
      <c r="P237" s="71">
        <f>0+'[1]táj.2'!P237</f>
        <v>0</v>
      </c>
      <c r="Q237" s="11">
        <f t="shared" si="15"/>
        <v>200</v>
      </c>
    </row>
    <row r="238" spans="1:17" ht="15" customHeight="1">
      <c r="A238" s="70"/>
      <c r="B238" s="70"/>
      <c r="C238" s="127"/>
      <c r="D238" s="262" t="s">
        <v>351</v>
      </c>
      <c r="E238" s="10">
        <v>2</v>
      </c>
      <c r="F238" s="11">
        <v>151507</v>
      </c>
      <c r="G238" s="71">
        <f>0+'[1]táj.2'!G238</f>
        <v>0</v>
      </c>
      <c r="H238" s="71">
        <f>0+'[1]táj.2'!H238</f>
        <v>0</v>
      </c>
      <c r="I238" s="71">
        <f>2601+'[1]táj.2'!I238</f>
        <v>2601</v>
      </c>
      <c r="J238" s="71">
        <f>0+'[1]táj.2'!J238</f>
        <v>0</v>
      </c>
      <c r="K238" s="71">
        <f>0+'[1]táj.2'!K238</f>
        <v>0</v>
      </c>
      <c r="L238" s="71">
        <f>0+'[1]táj.2'!L238</f>
        <v>0</v>
      </c>
      <c r="M238" s="71">
        <f>0+'[1]táj.2'!M238</f>
        <v>0</v>
      </c>
      <c r="N238" s="71">
        <f>0+'[1]táj.2'!N238</f>
        <v>0</v>
      </c>
      <c r="O238" s="71">
        <f>0+'[1]táj.2'!O238</f>
        <v>0</v>
      </c>
      <c r="P238" s="71">
        <f>0+'[1]táj.2'!P238</f>
        <v>0</v>
      </c>
      <c r="Q238" s="11">
        <f t="shared" si="15"/>
        <v>2601</v>
      </c>
    </row>
    <row r="239" spans="1:17" ht="15" customHeight="1">
      <c r="A239" s="70"/>
      <c r="B239" s="70"/>
      <c r="C239" s="127"/>
      <c r="D239" s="262" t="s">
        <v>200</v>
      </c>
      <c r="E239" s="10">
        <v>2</v>
      </c>
      <c r="F239" s="11">
        <v>151509</v>
      </c>
      <c r="G239" s="71">
        <f>0+'[1]táj.2'!G239</f>
        <v>0</v>
      </c>
      <c r="H239" s="71">
        <f>0+'[1]táj.2'!H239</f>
        <v>0</v>
      </c>
      <c r="I239" s="71">
        <f>500+'[1]táj.2'!I239</f>
        <v>500</v>
      </c>
      <c r="J239" s="71">
        <f>0+'[1]táj.2'!J239</f>
        <v>0</v>
      </c>
      <c r="K239" s="71">
        <f>0+'[1]táj.2'!K239</f>
        <v>0</v>
      </c>
      <c r="L239" s="71">
        <f>0+'[1]táj.2'!L239</f>
        <v>0</v>
      </c>
      <c r="M239" s="71">
        <f>0+'[1]táj.2'!M239</f>
        <v>0</v>
      </c>
      <c r="N239" s="71">
        <f>0+'[1]táj.2'!N239</f>
        <v>0</v>
      </c>
      <c r="O239" s="71">
        <f>0+'[1]táj.2'!O239</f>
        <v>0</v>
      </c>
      <c r="P239" s="71">
        <f>0+'[1]táj.2'!P239</f>
        <v>0</v>
      </c>
      <c r="Q239" s="11">
        <f t="shared" si="15"/>
        <v>500</v>
      </c>
    </row>
    <row r="240" spans="1:17" ht="15" customHeight="1">
      <c r="A240" s="70"/>
      <c r="B240" s="70"/>
      <c r="C240" s="127"/>
      <c r="D240" s="262" t="s">
        <v>364</v>
      </c>
      <c r="E240" s="10">
        <v>1</v>
      </c>
      <c r="F240" s="11">
        <v>151510</v>
      </c>
      <c r="G240" s="71">
        <f>0+'[1]táj.2'!G240</f>
        <v>0</v>
      </c>
      <c r="H240" s="71">
        <f>0+'[1]táj.2'!H240</f>
        <v>0</v>
      </c>
      <c r="I240" s="71">
        <f>8000+'[1]táj.2'!I240</f>
        <v>8000</v>
      </c>
      <c r="J240" s="71">
        <f>0+'[1]táj.2'!J240</f>
        <v>0</v>
      </c>
      <c r="K240" s="71">
        <f>0+'[1]táj.2'!K240</f>
        <v>0</v>
      </c>
      <c r="L240" s="71">
        <f>0+'[1]táj.2'!L240</f>
        <v>0</v>
      </c>
      <c r="M240" s="71">
        <f>0+'[1]táj.2'!M240</f>
        <v>0</v>
      </c>
      <c r="N240" s="71">
        <f>0+'[1]táj.2'!N240</f>
        <v>0</v>
      </c>
      <c r="O240" s="71">
        <f>0+'[1]táj.2'!O240</f>
        <v>0</v>
      </c>
      <c r="P240" s="71">
        <f>0+'[1]táj.2'!P240</f>
        <v>0</v>
      </c>
      <c r="Q240" s="11">
        <f t="shared" si="15"/>
        <v>8000</v>
      </c>
    </row>
    <row r="241" spans="1:17" ht="15" customHeight="1">
      <c r="A241" s="70"/>
      <c r="B241" s="70"/>
      <c r="C241" s="127"/>
      <c r="D241" s="263" t="s">
        <v>3</v>
      </c>
      <c r="E241" s="10">
        <v>1</v>
      </c>
      <c r="F241" s="11">
        <v>151525</v>
      </c>
      <c r="G241" s="71">
        <f>0+'[1]táj.2'!G241</f>
        <v>0</v>
      </c>
      <c r="H241" s="71">
        <f>0+'[1]táj.2'!H241</f>
        <v>0</v>
      </c>
      <c r="I241" s="71">
        <f>2500+'[1]táj.2'!I241</f>
        <v>2500</v>
      </c>
      <c r="J241" s="71">
        <f>0+'[1]táj.2'!J241</f>
        <v>0</v>
      </c>
      <c r="K241" s="71">
        <f>0+'[1]táj.2'!K241</f>
        <v>0</v>
      </c>
      <c r="L241" s="71">
        <f>0+'[1]táj.2'!L241</f>
        <v>0</v>
      </c>
      <c r="M241" s="71">
        <f>0+'[1]táj.2'!M241</f>
        <v>0</v>
      </c>
      <c r="N241" s="71">
        <f>0+'[1]táj.2'!N241</f>
        <v>0</v>
      </c>
      <c r="O241" s="71">
        <f>0+'[1]táj.2'!O241</f>
        <v>0</v>
      </c>
      <c r="P241" s="71">
        <f>0+'[1]táj.2'!P241</f>
        <v>0</v>
      </c>
      <c r="Q241" s="11">
        <f t="shared" si="15"/>
        <v>2500</v>
      </c>
    </row>
    <row r="242" spans="1:17" ht="15" customHeight="1">
      <c r="A242" s="70"/>
      <c r="B242" s="70"/>
      <c r="C242" s="127"/>
      <c r="D242" s="264" t="s">
        <v>1153</v>
      </c>
      <c r="E242" s="400">
        <v>1</v>
      </c>
      <c r="F242" s="11">
        <v>151520</v>
      </c>
      <c r="G242" s="71">
        <f>0+'[1]táj.2'!G242</f>
        <v>0</v>
      </c>
      <c r="H242" s="71">
        <f>0+'[1]táj.2'!H242</f>
        <v>0</v>
      </c>
      <c r="I242" s="71">
        <f>200+'[1]táj.2'!I242</f>
        <v>200</v>
      </c>
      <c r="J242" s="71">
        <f>0+'[1]táj.2'!J242</f>
        <v>0</v>
      </c>
      <c r="K242" s="71">
        <f>0+'[1]táj.2'!K242</f>
        <v>0</v>
      </c>
      <c r="L242" s="71">
        <f>0+'[1]táj.2'!L242</f>
        <v>0</v>
      </c>
      <c r="M242" s="71">
        <f>0+'[1]táj.2'!M242</f>
        <v>0</v>
      </c>
      <c r="N242" s="71">
        <f>0+'[1]táj.2'!N242</f>
        <v>0</v>
      </c>
      <c r="O242" s="71">
        <f>0+'[1]táj.2'!O242</f>
        <v>0</v>
      </c>
      <c r="P242" s="71">
        <f>0+'[1]táj.2'!P242</f>
        <v>0</v>
      </c>
      <c r="Q242" s="11">
        <f t="shared" si="15"/>
        <v>200</v>
      </c>
    </row>
    <row r="243" spans="1:17" ht="15" customHeight="1">
      <c r="A243" s="70"/>
      <c r="B243" s="70"/>
      <c r="C243" s="127"/>
      <c r="D243" s="265" t="s">
        <v>121</v>
      </c>
      <c r="E243" s="10">
        <v>1</v>
      </c>
      <c r="F243" s="11">
        <v>151521</v>
      </c>
      <c r="G243" s="71">
        <f>0+'[1]táj.2'!G243</f>
        <v>0</v>
      </c>
      <c r="H243" s="71">
        <f>0+'[1]táj.2'!H243</f>
        <v>0</v>
      </c>
      <c r="I243" s="71">
        <f>400+'[1]táj.2'!I243</f>
        <v>400</v>
      </c>
      <c r="J243" s="71">
        <f>0+'[1]táj.2'!J243</f>
        <v>0</v>
      </c>
      <c r="K243" s="71">
        <f>0+'[1]táj.2'!K243</f>
        <v>0</v>
      </c>
      <c r="L243" s="71">
        <f>0+'[1]táj.2'!L243</f>
        <v>0</v>
      </c>
      <c r="M243" s="71">
        <f>0+'[1]táj.2'!M243</f>
        <v>0</v>
      </c>
      <c r="N243" s="71">
        <f>0+'[1]táj.2'!N243</f>
        <v>0</v>
      </c>
      <c r="O243" s="71">
        <f>0+'[1]táj.2'!O243</f>
        <v>0</v>
      </c>
      <c r="P243" s="71">
        <f>0+'[1]táj.2'!P243</f>
        <v>0</v>
      </c>
      <c r="Q243" s="11">
        <f t="shared" si="15"/>
        <v>400</v>
      </c>
    </row>
    <row r="244" spans="1:17" ht="15" customHeight="1">
      <c r="A244" s="70"/>
      <c r="B244" s="70"/>
      <c r="C244" s="127"/>
      <c r="D244" s="265" t="s">
        <v>1154</v>
      </c>
      <c r="E244" s="10">
        <v>1</v>
      </c>
      <c r="F244" s="11">
        <v>151522</v>
      </c>
      <c r="G244" s="71">
        <f>0+'[1]táj.2'!G244</f>
        <v>0</v>
      </c>
      <c r="H244" s="71">
        <f>0+'[1]táj.2'!H244</f>
        <v>0</v>
      </c>
      <c r="I244" s="71">
        <f>500+'[1]táj.2'!I244</f>
        <v>0</v>
      </c>
      <c r="J244" s="71">
        <f>0+'[1]táj.2'!J244</f>
        <v>0</v>
      </c>
      <c r="K244" s="71">
        <f>0+'[1]táj.2'!K244</f>
        <v>0</v>
      </c>
      <c r="L244" s="71">
        <f>0+'[1]táj.2'!L244</f>
        <v>0</v>
      </c>
      <c r="M244" s="71">
        <f>0+'[1]táj.2'!M244</f>
        <v>0</v>
      </c>
      <c r="N244" s="71">
        <f>0+'[1]táj.2'!N244</f>
        <v>0</v>
      </c>
      <c r="O244" s="71">
        <f>0+'[1]táj.2'!O244</f>
        <v>0</v>
      </c>
      <c r="P244" s="71">
        <f>0+'[1]táj.2'!P244</f>
        <v>0</v>
      </c>
      <c r="Q244" s="11">
        <f t="shared" si="15"/>
        <v>0</v>
      </c>
    </row>
    <row r="245" spans="1:17" ht="15" customHeight="1">
      <c r="A245" s="70"/>
      <c r="B245" s="70"/>
      <c r="C245" s="127"/>
      <c r="D245" s="629" t="s">
        <v>1477</v>
      </c>
      <c r="E245" s="10">
        <v>2</v>
      </c>
      <c r="F245" s="11">
        <v>151529</v>
      </c>
      <c r="G245" s="71">
        <f>0+'[1]táj.2'!G245</f>
        <v>0</v>
      </c>
      <c r="H245" s="71">
        <f>0+'[1]táj.2'!H245</f>
        <v>0</v>
      </c>
      <c r="I245" s="71">
        <f>200+'[1]táj.2'!I245</f>
        <v>0</v>
      </c>
      <c r="J245" s="71">
        <f>0+'[1]táj.2'!J245</f>
        <v>0</v>
      </c>
      <c r="K245" s="71">
        <f>0+'[1]táj.2'!K245</f>
        <v>0</v>
      </c>
      <c r="L245" s="71">
        <f>0+'[1]táj.2'!L245</f>
        <v>0</v>
      </c>
      <c r="M245" s="71">
        <f>0+'[1]táj.2'!M245</f>
        <v>0</v>
      </c>
      <c r="N245" s="71">
        <f>0+'[1]táj.2'!N245</f>
        <v>0</v>
      </c>
      <c r="O245" s="71">
        <f>0+'[1]táj.2'!O245</f>
        <v>0</v>
      </c>
      <c r="P245" s="71">
        <f>0+'[1]táj.2'!P245</f>
        <v>0</v>
      </c>
      <c r="Q245" s="11">
        <f t="shared" si="15"/>
        <v>0</v>
      </c>
    </row>
    <row r="246" spans="1:17" ht="15" customHeight="1">
      <c r="A246" s="70"/>
      <c r="B246" s="70"/>
      <c r="C246" s="127"/>
      <c r="D246" s="262" t="s">
        <v>201</v>
      </c>
      <c r="E246" s="10">
        <v>1</v>
      </c>
      <c r="F246" s="11">
        <v>151512</v>
      </c>
      <c r="G246" s="71">
        <f>0+'[1]táj.2'!G246</f>
        <v>0</v>
      </c>
      <c r="H246" s="71">
        <f>0+'[1]táj.2'!H246</f>
        <v>0</v>
      </c>
      <c r="I246" s="71">
        <f>2087+'[1]táj.2'!I246</f>
        <v>2087</v>
      </c>
      <c r="J246" s="71">
        <f>0+'[1]táj.2'!J246</f>
        <v>0</v>
      </c>
      <c r="K246" s="71">
        <f>0+'[1]táj.2'!K246</f>
        <v>0</v>
      </c>
      <c r="L246" s="71">
        <f>0+'[1]táj.2'!L246</f>
        <v>0</v>
      </c>
      <c r="M246" s="71">
        <f>0+'[1]táj.2'!M246</f>
        <v>0</v>
      </c>
      <c r="N246" s="71">
        <f>0+'[1]táj.2'!N246</f>
        <v>0</v>
      </c>
      <c r="O246" s="71">
        <f>0+'[1]táj.2'!O246</f>
        <v>0</v>
      </c>
      <c r="P246" s="71">
        <f>0+'[1]táj.2'!P246</f>
        <v>0</v>
      </c>
      <c r="Q246" s="11">
        <f t="shared" si="15"/>
        <v>2087</v>
      </c>
    </row>
    <row r="247" spans="1:17" ht="15" customHeight="1">
      <c r="A247" s="70"/>
      <c r="B247" s="70"/>
      <c r="C247" s="127"/>
      <c r="D247" s="265" t="s">
        <v>1187</v>
      </c>
      <c r="E247" s="10">
        <v>1</v>
      </c>
      <c r="F247" s="11">
        <v>151519</v>
      </c>
      <c r="G247" s="71">
        <f>0+'[1]táj.2'!G247</f>
        <v>0</v>
      </c>
      <c r="H247" s="71">
        <f>0+'[1]táj.2'!H247</f>
        <v>0</v>
      </c>
      <c r="I247" s="71">
        <f>500+'[1]táj.2'!I247</f>
        <v>500</v>
      </c>
      <c r="J247" s="71">
        <f>0+'[1]táj.2'!J247</f>
        <v>0</v>
      </c>
      <c r="K247" s="71">
        <f>0+'[1]táj.2'!K247</f>
        <v>0</v>
      </c>
      <c r="L247" s="71">
        <f>0+'[1]táj.2'!L247</f>
        <v>0</v>
      </c>
      <c r="M247" s="71">
        <f>0+'[1]táj.2'!M247</f>
        <v>0</v>
      </c>
      <c r="N247" s="71">
        <f>0+'[1]táj.2'!N247</f>
        <v>0</v>
      </c>
      <c r="O247" s="71">
        <f>0+'[1]táj.2'!O247</f>
        <v>0</v>
      </c>
      <c r="P247" s="71">
        <f>0+'[1]táj.2'!P247</f>
        <v>0</v>
      </c>
      <c r="Q247" s="11">
        <f t="shared" si="15"/>
        <v>500</v>
      </c>
    </row>
    <row r="248" spans="1:17" ht="15" customHeight="1">
      <c r="A248" s="70"/>
      <c r="B248" s="70"/>
      <c r="C248" s="127"/>
      <c r="D248" s="262" t="s">
        <v>836</v>
      </c>
      <c r="E248" s="10">
        <v>2</v>
      </c>
      <c r="F248" s="11">
        <v>151511</v>
      </c>
      <c r="G248" s="71">
        <f>0+'[1]táj.2'!G248</f>
        <v>0</v>
      </c>
      <c r="H248" s="71">
        <f>0+'[1]táj.2'!H248</f>
        <v>0</v>
      </c>
      <c r="I248" s="71">
        <f>3500+'[1]táj.2'!I248</f>
        <v>3500</v>
      </c>
      <c r="J248" s="71">
        <f>0+'[1]táj.2'!J248</f>
        <v>0</v>
      </c>
      <c r="K248" s="71">
        <f>0+'[1]táj.2'!K248</f>
        <v>0</v>
      </c>
      <c r="L248" s="71">
        <f>0+'[1]táj.2'!L248</f>
        <v>0</v>
      </c>
      <c r="M248" s="71">
        <f>0+'[1]táj.2'!M248</f>
        <v>0</v>
      </c>
      <c r="N248" s="71">
        <f>0+'[1]táj.2'!N248</f>
        <v>0</v>
      </c>
      <c r="O248" s="71">
        <f>0+'[1]táj.2'!O248</f>
        <v>0</v>
      </c>
      <c r="P248" s="71">
        <f>0+'[1]táj.2'!P248</f>
        <v>0</v>
      </c>
      <c r="Q248" s="11">
        <f t="shared" si="15"/>
        <v>3500</v>
      </c>
    </row>
    <row r="249" spans="1:17" ht="15" customHeight="1">
      <c r="A249" s="70"/>
      <c r="B249" s="70"/>
      <c r="C249" s="127"/>
      <c r="D249" s="262" t="s">
        <v>837</v>
      </c>
      <c r="E249" s="393">
        <v>2</v>
      </c>
      <c r="F249" s="11">
        <v>151514</v>
      </c>
      <c r="G249" s="71">
        <f>0+'[1]táj.2'!G249</f>
        <v>0</v>
      </c>
      <c r="H249" s="71">
        <f>0+'[1]táj.2'!H249</f>
        <v>0</v>
      </c>
      <c r="I249" s="71">
        <f>2000+'[1]táj.2'!I249</f>
        <v>2000</v>
      </c>
      <c r="J249" s="71">
        <f>0+'[1]táj.2'!J249</f>
        <v>0</v>
      </c>
      <c r="K249" s="71">
        <f>0+'[1]táj.2'!K249</f>
        <v>0</v>
      </c>
      <c r="L249" s="71">
        <f>0+'[1]táj.2'!L249</f>
        <v>0</v>
      </c>
      <c r="M249" s="71">
        <f>0+'[1]táj.2'!M249</f>
        <v>0</v>
      </c>
      <c r="N249" s="71">
        <f>0+'[1]táj.2'!N249</f>
        <v>0</v>
      </c>
      <c r="O249" s="71">
        <f>0+'[1]táj.2'!O249</f>
        <v>0</v>
      </c>
      <c r="P249" s="71">
        <f>0+'[1]táj.2'!P249</f>
        <v>0</v>
      </c>
      <c r="Q249" s="11">
        <f t="shared" si="15"/>
        <v>2000</v>
      </c>
    </row>
    <row r="250" spans="1:17" ht="15" customHeight="1">
      <c r="A250" s="70"/>
      <c r="B250" s="70"/>
      <c r="C250" s="127"/>
      <c r="D250" s="262" t="s">
        <v>847</v>
      </c>
      <c r="E250" s="393">
        <v>2</v>
      </c>
      <c r="F250" s="11">
        <v>151515</v>
      </c>
      <c r="G250" s="71">
        <f>0+'[1]táj.2'!G250</f>
        <v>0</v>
      </c>
      <c r="H250" s="71">
        <f>0+'[1]táj.2'!H250</f>
        <v>0</v>
      </c>
      <c r="I250" s="71">
        <f>800+'[1]táj.2'!I250</f>
        <v>800</v>
      </c>
      <c r="J250" s="71">
        <f>0+'[1]táj.2'!J250</f>
        <v>0</v>
      </c>
      <c r="K250" s="71">
        <f>0+'[1]táj.2'!K250</f>
        <v>0</v>
      </c>
      <c r="L250" s="71">
        <f>0+'[1]táj.2'!L250</f>
        <v>0</v>
      </c>
      <c r="M250" s="71">
        <f>0+'[1]táj.2'!M250</f>
        <v>0</v>
      </c>
      <c r="N250" s="71">
        <f>0+'[1]táj.2'!N250</f>
        <v>0</v>
      </c>
      <c r="O250" s="71">
        <f>0+'[1]táj.2'!O250</f>
        <v>0</v>
      </c>
      <c r="P250" s="71">
        <f>0+'[1]táj.2'!P250</f>
        <v>0</v>
      </c>
      <c r="Q250" s="11">
        <f t="shared" si="15"/>
        <v>800</v>
      </c>
    </row>
    <row r="251" spans="1:17" ht="15" customHeight="1">
      <c r="A251" s="70"/>
      <c r="B251" s="70"/>
      <c r="C251" s="127"/>
      <c r="D251" s="262" t="s">
        <v>147</v>
      </c>
      <c r="E251" s="393">
        <v>1</v>
      </c>
      <c r="F251" s="11">
        <v>151513</v>
      </c>
      <c r="G251" s="71">
        <f>0+'[1]táj.2'!G251</f>
        <v>0</v>
      </c>
      <c r="H251" s="71">
        <f>0+'[1]táj.2'!H251</f>
        <v>0</v>
      </c>
      <c r="I251" s="71">
        <f>6300+'[1]táj.2'!I251</f>
        <v>6300</v>
      </c>
      <c r="J251" s="71">
        <f>0+'[1]táj.2'!J251</f>
        <v>0</v>
      </c>
      <c r="K251" s="71">
        <f>0+'[1]táj.2'!K251</f>
        <v>0</v>
      </c>
      <c r="L251" s="71">
        <f>0+'[1]táj.2'!L251</f>
        <v>0</v>
      </c>
      <c r="M251" s="71">
        <f>0+'[1]táj.2'!M251</f>
        <v>0</v>
      </c>
      <c r="N251" s="71">
        <f>0+'[1]táj.2'!N251</f>
        <v>0</v>
      </c>
      <c r="O251" s="71">
        <f>0+'[1]táj.2'!O251</f>
        <v>0</v>
      </c>
      <c r="P251" s="71">
        <f>0+'[1]táj.2'!P251</f>
        <v>0</v>
      </c>
      <c r="Q251" s="11">
        <f t="shared" si="15"/>
        <v>6300</v>
      </c>
    </row>
    <row r="252" spans="1:17" ht="15" customHeight="1">
      <c r="A252" s="70"/>
      <c r="B252" s="70"/>
      <c r="C252" s="127"/>
      <c r="D252" s="262" t="s">
        <v>1136</v>
      </c>
      <c r="E252" s="393">
        <v>2</v>
      </c>
      <c r="F252" s="11">
        <v>151918</v>
      </c>
      <c r="G252" s="71">
        <f>0+'[1]táj.2'!G252</f>
        <v>0</v>
      </c>
      <c r="H252" s="71">
        <f>0+'[1]táj.2'!H252</f>
        <v>0</v>
      </c>
      <c r="I252" s="71">
        <f>2000+'[1]táj.2'!I252</f>
        <v>2000</v>
      </c>
      <c r="J252" s="71">
        <f>0+'[1]táj.2'!J252</f>
        <v>0</v>
      </c>
      <c r="K252" s="71">
        <f>0+'[1]táj.2'!K252</f>
        <v>0</v>
      </c>
      <c r="L252" s="71">
        <f>0+'[1]táj.2'!L252</f>
        <v>0</v>
      </c>
      <c r="M252" s="71">
        <f>0+'[1]táj.2'!M252</f>
        <v>0</v>
      </c>
      <c r="N252" s="71">
        <f>0+'[1]táj.2'!N252</f>
        <v>0</v>
      </c>
      <c r="O252" s="71">
        <f>0+'[1]táj.2'!O252</f>
        <v>0</v>
      </c>
      <c r="P252" s="71">
        <f>0+'[1]táj.2'!P252</f>
        <v>0</v>
      </c>
      <c r="Q252" s="11">
        <f t="shared" si="15"/>
        <v>2000</v>
      </c>
    </row>
    <row r="253" spans="1:17" ht="29.25" customHeight="1">
      <c r="A253" s="70"/>
      <c r="B253" s="70"/>
      <c r="C253" s="127"/>
      <c r="D253" s="114" t="s">
        <v>1287</v>
      </c>
      <c r="E253" s="393">
        <v>2</v>
      </c>
      <c r="F253" s="11">
        <v>151524</v>
      </c>
      <c r="G253" s="71">
        <f>0+'[1]táj.2'!G253</f>
        <v>0</v>
      </c>
      <c r="H253" s="71">
        <f>0+'[1]táj.2'!H253</f>
        <v>0</v>
      </c>
      <c r="I253" s="71">
        <f>0+'[1]táj.2'!I253</f>
        <v>0</v>
      </c>
      <c r="J253" s="71">
        <f>0+'[1]táj.2'!J253</f>
        <v>0</v>
      </c>
      <c r="K253" s="71">
        <f>1000+'[1]táj.2'!K253</f>
        <v>1000</v>
      </c>
      <c r="L253" s="71">
        <f>0+'[1]táj.2'!L253</f>
        <v>0</v>
      </c>
      <c r="M253" s="71">
        <f>0+'[1]táj.2'!M253</f>
        <v>0</v>
      </c>
      <c r="N253" s="71">
        <f>0+'[1]táj.2'!N253</f>
        <v>0</v>
      </c>
      <c r="O253" s="71">
        <f>0+'[1]táj.2'!O253</f>
        <v>0</v>
      </c>
      <c r="P253" s="71">
        <f>0+'[1]táj.2'!P253</f>
        <v>0</v>
      </c>
      <c r="Q253" s="11">
        <f t="shared" si="15"/>
        <v>1000</v>
      </c>
    </row>
    <row r="254" spans="1:17" ht="15" customHeight="1">
      <c r="A254" s="70"/>
      <c r="B254" s="70"/>
      <c r="C254" s="127"/>
      <c r="D254" s="133" t="s">
        <v>812</v>
      </c>
      <c r="E254" s="389"/>
      <c r="F254" s="142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11"/>
    </row>
    <row r="255" spans="1:17" ht="15" customHeight="1">
      <c r="A255" s="70"/>
      <c r="B255" s="70"/>
      <c r="C255" s="127"/>
      <c r="D255" s="133" t="s">
        <v>202</v>
      </c>
      <c r="E255" s="10">
        <v>1</v>
      </c>
      <c r="F255" s="11">
        <v>151401</v>
      </c>
      <c r="G255" s="71">
        <f>0+'[1]táj.2'!G255</f>
        <v>0</v>
      </c>
      <c r="H255" s="71">
        <f>0+'[1]táj.2'!H255</f>
        <v>0</v>
      </c>
      <c r="I255" s="71">
        <f>101396+'[1]táj.2'!I255</f>
        <v>101152</v>
      </c>
      <c r="J255" s="71">
        <f>0+'[1]táj.2'!J255</f>
        <v>0</v>
      </c>
      <c r="K255" s="71">
        <f>0+'[1]táj.2'!K255</f>
        <v>0</v>
      </c>
      <c r="L255" s="71">
        <f>0+'[1]táj.2'!L255</f>
        <v>0</v>
      </c>
      <c r="M255" s="71">
        <f>0+'[1]táj.2'!M255</f>
        <v>0</v>
      </c>
      <c r="N255" s="71">
        <f>0+'[1]táj.2'!N255</f>
        <v>0</v>
      </c>
      <c r="O255" s="71">
        <f>0+'[1]táj.2'!O255</f>
        <v>0</v>
      </c>
      <c r="P255" s="71">
        <f>0+'[1]táj.2'!P255</f>
        <v>0</v>
      </c>
      <c r="Q255" s="11">
        <f aca="true" t="shared" si="16" ref="Q255:Q263">SUM(G255:P255)</f>
        <v>101152</v>
      </c>
    </row>
    <row r="256" spans="1:17" ht="15" customHeight="1">
      <c r="A256" s="70"/>
      <c r="B256" s="70"/>
      <c r="C256" s="127"/>
      <c r="D256" s="133" t="s">
        <v>203</v>
      </c>
      <c r="E256" s="389">
        <v>1</v>
      </c>
      <c r="F256" s="11">
        <v>151402</v>
      </c>
      <c r="G256" s="71">
        <f>0+'[1]táj.2'!G256</f>
        <v>0</v>
      </c>
      <c r="H256" s="71">
        <f>0+'[1]táj.2'!H256</f>
        <v>0</v>
      </c>
      <c r="I256" s="71">
        <f>36825+'[1]táj.2'!I256</f>
        <v>34384</v>
      </c>
      <c r="J256" s="71">
        <f>0+'[1]táj.2'!J256</f>
        <v>0</v>
      </c>
      <c r="K256" s="71">
        <f>0+'[1]táj.2'!K256</f>
        <v>0</v>
      </c>
      <c r="L256" s="71">
        <f>0+'[1]táj.2'!L256</f>
        <v>2441</v>
      </c>
      <c r="M256" s="71">
        <f>0+'[1]táj.2'!M256</f>
        <v>0</v>
      </c>
      <c r="N256" s="71">
        <f>0+'[1]táj.2'!N256</f>
        <v>0</v>
      </c>
      <c r="O256" s="71">
        <f>0+'[1]táj.2'!O256</f>
        <v>0</v>
      </c>
      <c r="P256" s="71">
        <f>0+'[1]táj.2'!P256</f>
        <v>0</v>
      </c>
      <c r="Q256" s="11">
        <f t="shared" si="16"/>
        <v>36825</v>
      </c>
    </row>
    <row r="257" spans="1:17" ht="15" customHeight="1">
      <c r="A257" s="70"/>
      <c r="B257" s="70"/>
      <c r="C257" s="127"/>
      <c r="D257" s="629" t="s">
        <v>1338</v>
      </c>
      <c r="E257" s="389">
        <v>1</v>
      </c>
      <c r="F257" s="11">
        <v>151410</v>
      </c>
      <c r="G257" s="71">
        <f>0+'[1]táj.2'!G257</f>
        <v>0</v>
      </c>
      <c r="H257" s="71">
        <f>0+'[1]táj.2'!H257</f>
        <v>0</v>
      </c>
      <c r="I257" s="71">
        <f>500+'[1]táj.2'!I257</f>
        <v>500</v>
      </c>
      <c r="J257" s="71">
        <f>0+'[1]táj.2'!J257</f>
        <v>0</v>
      </c>
      <c r="K257" s="71">
        <f>0+'[1]táj.2'!K257</f>
        <v>0</v>
      </c>
      <c r="L257" s="71">
        <f>0+'[1]táj.2'!L257</f>
        <v>0</v>
      </c>
      <c r="M257" s="71">
        <f>0+'[1]táj.2'!M257</f>
        <v>0</v>
      </c>
      <c r="N257" s="71">
        <f>0+'[1]táj.2'!N257</f>
        <v>0</v>
      </c>
      <c r="O257" s="71">
        <f>0+'[1]táj.2'!O257</f>
        <v>0</v>
      </c>
      <c r="P257" s="71">
        <f>0+'[1]táj.2'!P257</f>
        <v>0</v>
      </c>
      <c r="Q257" s="11">
        <f t="shared" si="16"/>
        <v>500</v>
      </c>
    </row>
    <row r="258" spans="1:17" ht="15" customHeight="1">
      <c r="A258" s="70"/>
      <c r="B258" s="70"/>
      <c r="C258" s="127"/>
      <c r="D258" s="133" t="s">
        <v>1257</v>
      </c>
      <c r="E258" s="389">
        <v>2</v>
      </c>
      <c r="F258" s="11">
        <v>151406</v>
      </c>
      <c r="G258" s="71">
        <f>0+'[1]táj.2'!G258</f>
        <v>0</v>
      </c>
      <c r="H258" s="71">
        <f>0+'[1]táj.2'!H258</f>
        <v>0</v>
      </c>
      <c r="I258" s="71">
        <f>500+'[1]táj.2'!I258</f>
        <v>500</v>
      </c>
      <c r="J258" s="71">
        <f>0+'[1]táj.2'!J258</f>
        <v>0</v>
      </c>
      <c r="K258" s="71">
        <f>0+'[1]táj.2'!K258</f>
        <v>0</v>
      </c>
      <c r="L258" s="71">
        <f>0+'[1]táj.2'!L258</f>
        <v>0</v>
      </c>
      <c r="M258" s="71">
        <f>0+'[1]táj.2'!M258</f>
        <v>0</v>
      </c>
      <c r="N258" s="71">
        <f>0+'[1]táj.2'!N258</f>
        <v>0</v>
      </c>
      <c r="O258" s="71">
        <f>0+'[1]táj.2'!O258</f>
        <v>0</v>
      </c>
      <c r="P258" s="71">
        <f>0+'[1]táj.2'!P258</f>
        <v>0</v>
      </c>
      <c r="Q258" s="11">
        <f t="shared" si="16"/>
        <v>500</v>
      </c>
    </row>
    <row r="259" spans="1:17" ht="15" customHeight="1">
      <c r="A259" s="70"/>
      <c r="B259" s="70"/>
      <c r="C259" s="127"/>
      <c r="D259" s="133" t="s">
        <v>1258</v>
      </c>
      <c r="E259" s="389">
        <v>2</v>
      </c>
      <c r="F259" s="11">
        <v>151407</v>
      </c>
      <c r="G259" s="71">
        <f>0+'[1]táj.2'!G259</f>
        <v>0</v>
      </c>
      <c r="H259" s="71">
        <f>0+'[1]táj.2'!H259</f>
        <v>0</v>
      </c>
      <c r="I259" s="71">
        <f>6450+'[1]táj.2'!I259</f>
        <v>6450</v>
      </c>
      <c r="J259" s="71">
        <f>0+'[1]táj.2'!J259</f>
        <v>0</v>
      </c>
      <c r="K259" s="71">
        <f>0+'[1]táj.2'!K259</f>
        <v>0</v>
      </c>
      <c r="L259" s="71">
        <f>0+'[1]táj.2'!L259</f>
        <v>0</v>
      </c>
      <c r="M259" s="71">
        <f>0+'[1]táj.2'!M259</f>
        <v>0</v>
      </c>
      <c r="N259" s="71">
        <f>0+'[1]táj.2'!N259</f>
        <v>0</v>
      </c>
      <c r="O259" s="71">
        <f>0+'[1]táj.2'!O259</f>
        <v>0</v>
      </c>
      <c r="P259" s="71">
        <f>0+'[1]táj.2'!P259</f>
        <v>0</v>
      </c>
      <c r="Q259" s="11">
        <f t="shared" si="16"/>
        <v>6450</v>
      </c>
    </row>
    <row r="260" spans="1:17" ht="15" customHeight="1">
      <c r="A260" s="70"/>
      <c r="B260" s="70"/>
      <c r="C260" s="127"/>
      <c r="D260" s="133" t="s">
        <v>943</v>
      </c>
      <c r="E260" s="389">
        <v>1</v>
      </c>
      <c r="F260" s="11">
        <v>151403</v>
      </c>
      <c r="G260" s="71">
        <f>0+'[1]táj.2'!G260</f>
        <v>0</v>
      </c>
      <c r="H260" s="71">
        <f>0+'[1]táj.2'!H260</f>
        <v>0</v>
      </c>
      <c r="I260" s="71">
        <f>200+'[1]táj.2'!I260</f>
        <v>200</v>
      </c>
      <c r="J260" s="71">
        <f>0+'[1]táj.2'!J260</f>
        <v>0</v>
      </c>
      <c r="K260" s="71">
        <f>0+'[1]táj.2'!K260</f>
        <v>0</v>
      </c>
      <c r="L260" s="71">
        <f>0+'[1]táj.2'!L260</f>
        <v>0</v>
      </c>
      <c r="M260" s="71">
        <f>0+'[1]táj.2'!M260</f>
        <v>0</v>
      </c>
      <c r="N260" s="71">
        <f>0+'[1]táj.2'!N260</f>
        <v>0</v>
      </c>
      <c r="O260" s="71">
        <f>0+'[1]táj.2'!O260</f>
        <v>0</v>
      </c>
      <c r="P260" s="71">
        <f>0+'[1]táj.2'!P260</f>
        <v>0</v>
      </c>
      <c r="Q260" s="11">
        <f t="shared" si="16"/>
        <v>200</v>
      </c>
    </row>
    <row r="261" spans="1:17" ht="15" customHeight="1">
      <c r="A261" s="70"/>
      <c r="B261" s="70"/>
      <c r="C261" s="127"/>
      <c r="D261" s="133" t="s">
        <v>170</v>
      </c>
      <c r="E261" s="389">
        <v>2</v>
      </c>
      <c r="F261" s="142">
        <v>151404</v>
      </c>
      <c r="G261" s="71">
        <f>0+'[1]táj.2'!G261</f>
        <v>0</v>
      </c>
      <c r="H261" s="71">
        <f>0+'[1]táj.2'!H261</f>
        <v>0</v>
      </c>
      <c r="I261" s="71">
        <f>4000+'[1]táj.2'!I261</f>
        <v>4000</v>
      </c>
      <c r="J261" s="71">
        <f>0+'[1]táj.2'!J261</f>
        <v>0</v>
      </c>
      <c r="K261" s="71">
        <f>0+'[1]táj.2'!K261</f>
        <v>0</v>
      </c>
      <c r="L261" s="71">
        <f>0+'[1]táj.2'!L261</f>
        <v>0</v>
      </c>
      <c r="M261" s="71">
        <f>0+'[1]táj.2'!M261</f>
        <v>0</v>
      </c>
      <c r="N261" s="71">
        <f>0+'[1]táj.2'!N261</f>
        <v>0</v>
      </c>
      <c r="O261" s="71">
        <f>0+'[1]táj.2'!O261</f>
        <v>0</v>
      </c>
      <c r="P261" s="71">
        <f>0+'[1]táj.2'!P261</f>
        <v>0</v>
      </c>
      <c r="Q261" s="11">
        <f t="shared" si="16"/>
        <v>4000</v>
      </c>
    </row>
    <row r="262" spans="1:17" ht="15" customHeight="1">
      <c r="A262" s="70"/>
      <c r="B262" s="70"/>
      <c r="C262" s="127"/>
      <c r="D262" s="265" t="s">
        <v>1152</v>
      </c>
      <c r="E262" s="389">
        <v>2</v>
      </c>
      <c r="F262" s="142">
        <v>151408</v>
      </c>
      <c r="G262" s="71">
        <f>0+'[1]táj.2'!G262</f>
        <v>0</v>
      </c>
      <c r="H262" s="71">
        <f>0+'[1]táj.2'!H262</f>
        <v>0</v>
      </c>
      <c r="I262" s="71">
        <f>1000+'[1]táj.2'!I262</f>
        <v>1000</v>
      </c>
      <c r="J262" s="71">
        <f>0+'[1]táj.2'!J262</f>
        <v>0</v>
      </c>
      <c r="K262" s="71">
        <f>0+'[1]táj.2'!K262</f>
        <v>0</v>
      </c>
      <c r="L262" s="71">
        <f>0+'[1]táj.2'!L262</f>
        <v>0</v>
      </c>
      <c r="M262" s="71">
        <f>0+'[1]táj.2'!M262</f>
        <v>0</v>
      </c>
      <c r="N262" s="71">
        <f>0+'[1]táj.2'!N262</f>
        <v>0</v>
      </c>
      <c r="O262" s="71">
        <f>0+'[1]táj.2'!O262</f>
        <v>0</v>
      </c>
      <c r="P262" s="71">
        <f>0+'[1]táj.2'!P262</f>
        <v>0</v>
      </c>
      <c r="Q262" s="11">
        <f t="shared" si="16"/>
        <v>1000</v>
      </c>
    </row>
    <row r="263" spans="1:17" ht="15" customHeight="1">
      <c r="A263" s="70"/>
      <c r="B263" s="70"/>
      <c r="C263" s="127"/>
      <c r="D263" s="265" t="s">
        <v>1155</v>
      </c>
      <c r="E263" s="389">
        <v>1</v>
      </c>
      <c r="F263" s="142">
        <v>151409</v>
      </c>
      <c r="G263" s="71">
        <f>0+'[1]táj.2'!G263</f>
        <v>0</v>
      </c>
      <c r="H263" s="71">
        <f>0+'[1]táj.2'!H263</f>
        <v>0</v>
      </c>
      <c r="I263" s="71">
        <f>1000+'[1]táj.2'!I263</f>
        <v>1000</v>
      </c>
      <c r="J263" s="71">
        <f>0+'[1]táj.2'!J263</f>
        <v>0</v>
      </c>
      <c r="K263" s="71">
        <f>0+'[1]táj.2'!K263</f>
        <v>0</v>
      </c>
      <c r="L263" s="71">
        <f>0+'[1]táj.2'!L263</f>
        <v>0</v>
      </c>
      <c r="M263" s="71">
        <f>0+'[1]táj.2'!M263</f>
        <v>0</v>
      </c>
      <c r="N263" s="71">
        <f>0+'[1]táj.2'!N263</f>
        <v>0</v>
      </c>
      <c r="O263" s="71">
        <f>0+'[1]táj.2'!O263</f>
        <v>0</v>
      </c>
      <c r="P263" s="71">
        <f>0+'[1]táj.2'!P263</f>
        <v>0</v>
      </c>
      <c r="Q263" s="11">
        <f t="shared" si="16"/>
        <v>1000</v>
      </c>
    </row>
    <row r="264" spans="1:17" ht="15" customHeight="1">
      <c r="A264" s="70"/>
      <c r="B264" s="70"/>
      <c r="C264" s="127"/>
      <c r="D264" s="133" t="s">
        <v>800</v>
      </c>
      <c r="E264" s="389"/>
      <c r="F264" s="142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11"/>
    </row>
    <row r="265" spans="1:17" ht="24" customHeight="1">
      <c r="A265" s="70"/>
      <c r="B265" s="70"/>
      <c r="C265" s="127"/>
      <c r="D265" s="95" t="s">
        <v>1045</v>
      </c>
      <c r="E265" s="388">
        <v>1</v>
      </c>
      <c r="F265" s="29">
        <v>191129</v>
      </c>
      <c r="G265" s="71">
        <f>0+'[1]táj.2'!G265</f>
        <v>0</v>
      </c>
      <c r="H265" s="71">
        <f>0+'[1]táj.2'!H265</f>
        <v>0</v>
      </c>
      <c r="I265" s="71">
        <f>0+'[1]táj.2'!I265</f>
        <v>0</v>
      </c>
      <c r="J265" s="71">
        <f>0+'[1]táj.2'!J265</f>
        <v>0</v>
      </c>
      <c r="K265" s="71">
        <f>340364+'[1]táj.2'!K265</f>
        <v>340364</v>
      </c>
      <c r="L265" s="71">
        <f>0+'[1]táj.2'!L265</f>
        <v>0</v>
      </c>
      <c r="M265" s="71">
        <f>0+'[1]táj.2'!M265</f>
        <v>0</v>
      </c>
      <c r="N265" s="71">
        <f>0+'[1]táj.2'!N265</f>
        <v>0</v>
      </c>
      <c r="O265" s="71">
        <f>0+'[1]táj.2'!O265</f>
        <v>0</v>
      </c>
      <c r="P265" s="71">
        <f>0+'[1]táj.2'!P265</f>
        <v>0</v>
      </c>
      <c r="Q265" s="11">
        <f>SUM(G265:P265)</f>
        <v>340364</v>
      </c>
    </row>
    <row r="266" spans="1:17" ht="14.25" customHeight="1">
      <c r="A266" s="70"/>
      <c r="B266" s="70"/>
      <c r="C266" s="127"/>
      <c r="D266" s="262" t="s">
        <v>743</v>
      </c>
      <c r="E266" s="389"/>
      <c r="F266" s="142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11"/>
    </row>
    <row r="267" spans="1:17" ht="15" customHeight="1">
      <c r="A267" s="11"/>
      <c r="B267" s="11"/>
      <c r="C267" s="11"/>
      <c r="D267" s="133" t="s">
        <v>204</v>
      </c>
      <c r="E267" s="10">
        <v>1</v>
      </c>
      <c r="F267" s="11">
        <v>151102</v>
      </c>
      <c r="G267" s="71">
        <f>0+'[1]táj.2'!G267</f>
        <v>0</v>
      </c>
      <c r="H267" s="71">
        <f>0+'[1]táj.2'!H267</f>
        <v>0</v>
      </c>
      <c r="I267" s="71">
        <f>2550+'[1]táj.2'!I267</f>
        <v>1164</v>
      </c>
      <c r="J267" s="71">
        <f>0+'[1]táj.2'!J267</f>
        <v>0</v>
      </c>
      <c r="K267" s="71">
        <f>0+'[1]táj.2'!K267</f>
        <v>0</v>
      </c>
      <c r="L267" s="71">
        <f>0+'[1]táj.2'!L267</f>
        <v>0</v>
      </c>
      <c r="M267" s="71">
        <f>0+'[1]táj.2'!M267</f>
        <v>0</v>
      </c>
      <c r="N267" s="71">
        <f>0+'[1]táj.2'!N267</f>
        <v>0</v>
      </c>
      <c r="O267" s="71">
        <f>0+'[1]táj.2'!O267</f>
        <v>0</v>
      </c>
      <c r="P267" s="71">
        <f>0+'[1]táj.2'!P267</f>
        <v>0</v>
      </c>
      <c r="Q267" s="11">
        <f>SUM(G267:P267)</f>
        <v>1164</v>
      </c>
    </row>
    <row r="268" spans="1:17" ht="15" customHeight="1">
      <c r="A268" s="70"/>
      <c r="B268" s="70"/>
      <c r="C268" s="127"/>
      <c r="D268" s="133" t="s">
        <v>219</v>
      </c>
      <c r="E268" s="10">
        <v>1</v>
      </c>
      <c r="F268" s="11">
        <v>151103</v>
      </c>
      <c r="G268" s="71">
        <f>0+'[1]táj.2'!G268</f>
        <v>0</v>
      </c>
      <c r="H268" s="71">
        <f>0+'[1]táj.2'!H268</f>
        <v>0</v>
      </c>
      <c r="I268" s="71">
        <f>6000+'[1]táj.2'!I268</f>
        <v>1345</v>
      </c>
      <c r="J268" s="71">
        <f>0+'[1]táj.2'!J268</f>
        <v>0</v>
      </c>
      <c r="K268" s="71">
        <f>0+'[1]táj.2'!K268</f>
        <v>0</v>
      </c>
      <c r="L268" s="71">
        <f>0+'[1]táj.2'!L268</f>
        <v>0</v>
      </c>
      <c r="M268" s="71">
        <f>0+'[1]táj.2'!M268</f>
        <v>0</v>
      </c>
      <c r="N268" s="71">
        <f>0+'[1]táj.2'!N268</f>
        <v>0</v>
      </c>
      <c r="O268" s="71">
        <f>0+'[1]táj.2'!O268</f>
        <v>0</v>
      </c>
      <c r="P268" s="71">
        <f>0+'[1]táj.2'!P268</f>
        <v>0</v>
      </c>
      <c r="Q268" s="11">
        <f>SUM(G268:P268)</f>
        <v>1345</v>
      </c>
    </row>
    <row r="269" spans="1:17" ht="15" customHeight="1">
      <c r="A269" s="70"/>
      <c r="B269" s="70"/>
      <c r="C269" s="127"/>
      <c r="D269" s="133" t="s">
        <v>744</v>
      </c>
      <c r="E269" s="389"/>
      <c r="F269" s="142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11"/>
    </row>
    <row r="270" spans="1:17" ht="15" customHeight="1">
      <c r="A270" s="70"/>
      <c r="B270" s="70"/>
      <c r="C270" s="127"/>
      <c r="D270" s="262" t="s">
        <v>184</v>
      </c>
      <c r="E270" s="389">
        <v>1</v>
      </c>
      <c r="F270" s="11">
        <v>151301</v>
      </c>
      <c r="G270" s="71">
        <f>0+'[1]táj.2'!G270</f>
        <v>0</v>
      </c>
      <c r="H270" s="71">
        <f>0+'[1]táj.2'!H270</f>
        <v>0</v>
      </c>
      <c r="I270" s="71">
        <f>16454+'[1]táj.2'!I270</f>
        <v>15954</v>
      </c>
      <c r="J270" s="71">
        <f>0+'[1]táj.2'!J270</f>
        <v>0</v>
      </c>
      <c r="K270" s="71">
        <f>0+'[1]táj.2'!K270</f>
        <v>0</v>
      </c>
      <c r="L270" s="71">
        <f>0+'[1]táj.2'!L270</f>
        <v>0</v>
      </c>
      <c r="M270" s="71">
        <f>0+'[1]táj.2'!M270</f>
        <v>0</v>
      </c>
      <c r="N270" s="71">
        <f>0+'[1]táj.2'!N270</f>
        <v>0</v>
      </c>
      <c r="O270" s="71">
        <f>0+'[1]táj.2'!O270</f>
        <v>0</v>
      </c>
      <c r="P270" s="71">
        <f>0+'[1]táj.2'!P270</f>
        <v>0</v>
      </c>
      <c r="Q270" s="11">
        <f aca="true" t="shared" si="17" ref="Q270:Q283">SUM(G270:P270)</f>
        <v>15954</v>
      </c>
    </row>
    <row r="271" spans="1:17" ht="15" customHeight="1">
      <c r="A271" s="70"/>
      <c r="B271" s="70"/>
      <c r="C271" s="127"/>
      <c r="D271" s="262" t="s">
        <v>160</v>
      </c>
      <c r="E271" s="389">
        <v>1</v>
      </c>
      <c r="F271" s="11">
        <v>151310</v>
      </c>
      <c r="G271" s="71">
        <f>0+'[1]táj.2'!G271</f>
        <v>0</v>
      </c>
      <c r="H271" s="71">
        <f>0+'[1]táj.2'!H271</f>
        <v>0</v>
      </c>
      <c r="I271" s="71">
        <f>12770+'[1]táj.2'!I271</f>
        <v>12770</v>
      </c>
      <c r="J271" s="71">
        <f>0+'[1]táj.2'!J271</f>
        <v>0</v>
      </c>
      <c r="K271" s="71">
        <f>0+'[1]táj.2'!K271</f>
        <v>0</v>
      </c>
      <c r="L271" s="71">
        <f>0+'[1]táj.2'!L271</f>
        <v>0</v>
      </c>
      <c r="M271" s="71">
        <f>0+'[1]táj.2'!M271</f>
        <v>0</v>
      </c>
      <c r="N271" s="71">
        <f>0+'[1]táj.2'!N271</f>
        <v>0</v>
      </c>
      <c r="O271" s="71">
        <f>0+'[1]táj.2'!O271</f>
        <v>0</v>
      </c>
      <c r="P271" s="71">
        <f>0+'[1]táj.2'!P271</f>
        <v>0</v>
      </c>
      <c r="Q271" s="11">
        <f t="shared" si="17"/>
        <v>12770</v>
      </c>
    </row>
    <row r="272" spans="1:17" ht="15" customHeight="1">
      <c r="A272" s="70"/>
      <c r="B272" s="70"/>
      <c r="C272" s="127"/>
      <c r="D272" s="262" t="s">
        <v>161</v>
      </c>
      <c r="E272" s="389">
        <v>1</v>
      </c>
      <c r="F272" s="11">
        <v>151313</v>
      </c>
      <c r="G272" s="71">
        <f>0+'[1]táj.2'!G272</f>
        <v>0</v>
      </c>
      <c r="H272" s="71">
        <f>0+'[1]táj.2'!H272</f>
        <v>0</v>
      </c>
      <c r="I272" s="71">
        <f>11201+'[1]táj.2'!I272</f>
        <v>11201</v>
      </c>
      <c r="J272" s="71">
        <f>0+'[1]táj.2'!J272</f>
        <v>0</v>
      </c>
      <c r="K272" s="71">
        <f>0+'[1]táj.2'!K272</f>
        <v>0</v>
      </c>
      <c r="L272" s="71">
        <f>0+'[1]táj.2'!L272</f>
        <v>0</v>
      </c>
      <c r="M272" s="71">
        <f>0+'[1]táj.2'!M272</f>
        <v>0</v>
      </c>
      <c r="N272" s="71">
        <f>0+'[1]táj.2'!N272</f>
        <v>0</v>
      </c>
      <c r="O272" s="71">
        <f>0+'[1]táj.2'!O272</f>
        <v>0</v>
      </c>
      <c r="P272" s="71">
        <f>0+'[1]táj.2'!P272</f>
        <v>0</v>
      </c>
      <c r="Q272" s="11">
        <f t="shared" si="17"/>
        <v>11201</v>
      </c>
    </row>
    <row r="273" spans="1:17" ht="15" customHeight="1">
      <c r="A273" s="70"/>
      <c r="B273" s="70"/>
      <c r="C273" s="127"/>
      <c r="D273" s="262" t="s">
        <v>162</v>
      </c>
      <c r="E273" s="389">
        <v>1</v>
      </c>
      <c r="F273" s="11">
        <v>151314</v>
      </c>
      <c r="G273" s="71">
        <f>0+'[1]táj.2'!G273</f>
        <v>0</v>
      </c>
      <c r="H273" s="71">
        <f>0+'[1]táj.2'!H273</f>
        <v>0</v>
      </c>
      <c r="I273" s="71">
        <f>31296+'[1]táj.2'!I273</f>
        <v>31296</v>
      </c>
      <c r="J273" s="71">
        <f>0+'[1]táj.2'!J273</f>
        <v>0</v>
      </c>
      <c r="K273" s="71">
        <f>0+'[1]táj.2'!K273</f>
        <v>0</v>
      </c>
      <c r="L273" s="71">
        <f>0+'[1]táj.2'!L273</f>
        <v>0</v>
      </c>
      <c r="M273" s="71">
        <f>0+'[1]táj.2'!M273</f>
        <v>0</v>
      </c>
      <c r="N273" s="71">
        <f>0+'[1]táj.2'!N273</f>
        <v>0</v>
      </c>
      <c r="O273" s="71">
        <f>0+'[1]táj.2'!O273</f>
        <v>0</v>
      </c>
      <c r="P273" s="71">
        <f>0+'[1]táj.2'!P273</f>
        <v>0</v>
      </c>
      <c r="Q273" s="11">
        <f t="shared" si="17"/>
        <v>31296</v>
      </c>
    </row>
    <row r="274" spans="1:17" ht="15" customHeight="1">
      <c r="A274" s="70"/>
      <c r="B274" s="70"/>
      <c r="C274" s="127"/>
      <c r="D274" s="262" t="s">
        <v>163</v>
      </c>
      <c r="E274" s="389">
        <v>1</v>
      </c>
      <c r="F274" s="11">
        <v>151317</v>
      </c>
      <c r="G274" s="71">
        <f>0+'[1]táj.2'!G274</f>
        <v>0</v>
      </c>
      <c r="H274" s="71">
        <f>0+'[1]táj.2'!H274</f>
        <v>0</v>
      </c>
      <c r="I274" s="71">
        <f>16146+'[1]táj.2'!I274</f>
        <v>16146</v>
      </c>
      <c r="J274" s="71">
        <f>0+'[1]táj.2'!J274</f>
        <v>0</v>
      </c>
      <c r="K274" s="71">
        <f>0+'[1]táj.2'!K274</f>
        <v>0</v>
      </c>
      <c r="L274" s="71">
        <f>0+'[1]táj.2'!L274</f>
        <v>0</v>
      </c>
      <c r="M274" s="71">
        <f>0+'[1]táj.2'!M274</f>
        <v>0</v>
      </c>
      <c r="N274" s="71">
        <f>0+'[1]táj.2'!N274</f>
        <v>0</v>
      </c>
      <c r="O274" s="71">
        <f>0+'[1]táj.2'!O274</f>
        <v>0</v>
      </c>
      <c r="P274" s="71">
        <f>0+'[1]táj.2'!P274</f>
        <v>0</v>
      </c>
      <c r="Q274" s="11">
        <f t="shared" si="17"/>
        <v>16146</v>
      </c>
    </row>
    <row r="275" spans="1:17" ht="25.5" customHeight="1">
      <c r="A275" s="70"/>
      <c r="B275" s="70"/>
      <c r="C275" s="127"/>
      <c r="D275" s="95" t="s">
        <v>841</v>
      </c>
      <c r="E275" s="389">
        <v>1</v>
      </c>
      <c r="F275" s="11">
        <v>151306</v>
      </c>
      <c r="G275" s="71">
        <f>0+'[1]táj.2'!G275</f>
        <v>0</v>
      </c>
      <c r="H275" s="71">
        <f>0+'[1]táj.2'!H275</f>
        <v>0</v>
      </c>
      <c r="I275" s="71">
        <f>2832+'[1]táj.2'!I275</f>
        <v>2832</v>
      </c>
      <c r="J275" s="71">
        <f>0+'[1]táj.2'!J275</f>
        <v>0</v>
      </c>
      <c r="K275" s="71">
        <f>0+'[1]táj.2'!K275</f>
        <v>0</v>
      </c>
      <c r="L275" s="71">
        <f>0+'[1]táj.2'!L275</f>
        <v>0</v>
      </c>
      <c r="M275" s="71">
        <f>0+'[1]táj.2'!M275</f>
        <v>0</v>
      </c>
      <c r="N275" s="71">
        <f>0+'[1]táj.2'!N275</f>
        <v>0</v>
      </c>
      <c r="O275" s="71">
        <f>0+'[1]táj.2'!O275</f>
        <v>0</v>
      </c>
      <c r="P275" s="71">
        <f>0+'[1]táj.2'!P275</f>
        <v>0</v>
      </c>
      <c r="Q275" s="11">
        <f t="shared" si="17"/>
        <v>2832</v>
      </c>
    </row>
    <row r="276" spans="1:17" ht="25.5" customHeight="1">
      <c r="A276" s="70"/>
      <c r="B276" s="70"/>
      <c r="C276" s="127"/>
      <c r="D276" s="95" t="s">
        <v>249</v>
      </c>
      <c r="E276" s="389">
        <v>1</v>
      </c>
      <c r="F276" s="11">
        <v>151307</v>
      </c>
      <c r="G276" s="71">
        <f>0+'[1]táj.2'!G276</f>
        <v>0</v>
      </c>
      <c r="H276" s="71">
        <f>0+'[1]táj.2'!H276</f>
        <v>0</v>
      </c>
      <c r="I276" s="71">
        <f>7617+'[1]táj.2'!I276</f>
        <v>7617</v>
      </c>
      <c r="J276" s="71">
        <f>0+'[1]táj.2'!J276</f>
        <v>0</v>
      </c>
      <c r="K276" s="71">
        <f>0+'[1]táj.2'!K276</f>
        <v>0</v>
      </c>
      <c r="L276" s="71">
        <f>0+'[1]táj.2'!L276</f>
        <v>0</v>
      </c>
      <c r="M276" s="71">
        <f>0+'[1]táj.2'!M276</f>
        <v>0</v>
      </c>
      <c r="N276" s="71">
        <f>0+'[1]táj.2'!N276</f>
        <v>0</v>
      </c>
      <c r="O276" s="71">
        <f>0+'[1]táj.2'!O276</f>
        <v>0</v>
      </c>
      <c r="P276" s="71">
        <f>0+'[1]táj.2'!P276</f>
        <v>0</v>
      </c>
      <c r="Q276" s="11">
        <f t="shared" si="17"/>
        <v>7617</v>
      </c>
    </row>
    <row r="277" spans="1:17" ht="24" customHeight="1">
      <c r="A277" s="70"/>
      <c r="B277" s="70"/>
      <c r="C277" s="127"/>
      <c r="D277" s="95" t="s">
        <v>656</v>
      </c>
      <c r="E277" s="389">
        <v>1</v>
      </c>
      <c r="F277" s="11">
        <v>151308</v>
      </c>
      <c r="G277" s="71">
        <f>0+'[1]táj.2'!G277</f>
        <v>0</v>
      </c>
      <c r="H277" s="71">
        <f>0+'[1]táj.2'!H277</f>
        <v>0</v>
      </c>
      <c r="I277" s="71">
        <f>1433+'[1]táj.2'!I277</f>
        <v>1433</v>
      </c>
      <c r="J277" s="71">
        <f>0+'[1]táj.2'!J277</f>
        <v>0</v>
      </c>
      <c r="K277" s="71">
        <f>0+'[1]táj.2'!K277</f>
        <v>0</v>
      </c>
      <c r="L277" s="71">
        <f>0+'[1]táj.2'!L277</f>
        <v>0</v>
      </c>
      <c r="M277" s="71">
        <f>0+'[1]táj.2'!M277</f>
        <v>0</v>
      </c>
      <c r="N277" s="71">
        <f>0+'[1]táj.2'!N277</f>
        <v>0</v>
      </c>
      <c r="O277" s="71">
        <f>0+'[1]táj.2'!O277</f>
        <v>0</v>
      </c>
      <c r="P277" s="71">
        <f>0+'[1]táj.2'!P277</f>
        <v>0</v>
      </c>
      <c r="Q277" s="11">
        <f t="shared" si="17"/>
        <v>1433</v>
      </c>
    </row>
    <row r="278" spans="1:17" ht="24" customHeight="1">
      <c r="A278" s="70"/>
      <c r="B278" s="70"/>
      <c r="C278" s="127"/>
      <c r="D278" s="95" t="s">
        <v>171</v>
      </c>
      <c r="E278" s="388">
        <v>1</v>
      </c>
      <c r="F278" s="29">
        <v>151311</v>
      </c>
      <c r="G278" s="71">
        <f>0+'[1]táj.2'!G278</f>
        <v>0</v>
      </c>
      <c r="H278" s="71">
        <f>0+'[1]táj.2'!H278</f>
        <v>0</v>
      </c>
      <c r="I278" s="71">
        <f>1000+'[1]táj.2'!I278</f>
        <v>1000</v>
      </c>
      <c r="J278" s="71">
        <f>0+'[1]táj.2'!J278</f>
        <v>0</v>
      </c>
      <c r="K278" s="71">
        <f>0+'[1]táj.2'!K278</f>
        <v>0</v>
      </c>
      <c r="L278" s="71">
        <f>0+'[1]táj.2'!L278</f>
        <v>0</v>
      </c>
      <c r="M278" s="71">
        <f>0+'[1]táj.2'!M278</f>
        <v>0</v>
      </c>
      <c r="N278" s="71">
        <f>0+'[1]táj.2'!N278</f>
        <v>0</v>
      </c>
      <c r="O278" s="71">
        <f>0+'[1]táj.2'!O278</f>
        <v>0</v>
      </c>
      <c r="P278" s="71">
        <f>0+'[1]táj.2'!P278</f>
        <v>0</v>
      </c>
      <c r="Q278" s="11">
        <f t="shared" si="17"/>
        <v>1000</v>
      </c>
    </row>
    <row r="279" spans="1:17" ht="15" customHeight="1">
      <c r="A279" s="70"/>
      <c r="B279" s="70"/>
      <c r="C279" s="127"/>
      <c r="D279" s="133" t="s">
        <v>152</v>
      </c>
      <c r="E279" s="389">
        <v>1</v>
      </c>
      <c r="F279" s="11">
        <v>151312</v>
      </c>
      <c r="G279" s="71">
        <f>0+'[1]táj.2'!G279</f>
        <v>0</v>
      </c>
      <c r="H279" s="71">
        <f>0+'[1]táj.2'!H279</f>
        <v>0</v>
      </c>
      <c r="I279" s="71">
        <f>500+'[1]táj.2'!I279</f>
        <v>500</v>
      </c>
      <c r="J279" s="71">
        <f>0+'[1]táj.2'!J279</f>
        <v>0</v>
      </c>
      <c r="K279" s="71">
        <f>0+'[1]táj.2'!K279</f>
        <v>0</v>
      </c>
      <c r="L279" s="71">
        <f>0+'[1]táj.2'!L279</f>
        <v>0</v>
      </c>
      <c r="M279" s="71">
        <f>0+'[1]táj.2'!M279</f>
        <v>0</v>
      </c>
      <c r="N279" s="71">
        <f>0+'[1]táj.2'!N279</f>
        <v>0</v>
      </c>
      <c r="O279" s="71">
        <f>0+'[1]táj.2'!O279</f>
        <v>0</v>
      </c>
      <c r="P279" s="71">
        <f>0+'[1]táj.2'!P279</f>
        <v>0</v>
      </c>
      <c r="Q279" s="11">
        <f t="shared" si="17"/>
        <v>500</v>
      </c>
    </row>
    <row r="280" spans="1:17" ht="17.25" customHeight="1">
      <c r="A280" s="70"/>
      <c r="B280" s="70"/>
      <c r="C280" s="127"/>
      <c r="D280" s="95" t="s">
        <v>842</v>
      </c>
      <c r="E280" s="389">
        <v>1</v>
      </c>
      <c r="F280" s="11">
        <v>151302</v>
      </c>
      <c r="G280" s="71">
        <f>0+'[1]táj.2'!G280</f>
        <v>0</v>
      </c>
      <c r="H280" s="71">
        <f>0+'[1]táj.2'!H280</f>
        <v>0</v>
      </c>
      <c r="I280" s="71">
        <f>2000+'[1]táj.2'!I280</f>
        <v>2178</v>
      </c>
      <c r="J280" s="71">
        <f>0+'[1]táj.2'!J280</f>
        <v>0</v>
      </c>
      <c r="K280" s="71">
        <f>0+'[1]táj.2'!K280</f>
        <v>0</v>
      </c>
      <c r="L280" s="71">
        <f>0+'[1]táj.2'!L280</f>
        <v>0</v>
      </c>
      <c r="M280" s="71">
        <f>0+'[1]táj.2'!M280</f>
        <v>0</v>
      </c>
      <c r="N280" s="71">
        <f>0+'[1]táj.2'!N280</f>
        <v>0</v>
      </c>
      <c r="O280" s="71">
        <f>0+'[1]táj.2'!O280</f>
        <v>0</v>
      </c>
      <c r="P280" s="71">
        <f>0+'[1]táj.2'!P280</f>
        <v>0</v>
      </c>
      <c r="Q280" s="11">
        <f t="shared" si="17"/>
        <v>2178</v>
      </c>
    </row>
    <row r="281" spans="1:17" ht="25.5" customHeight="1">
      <c r="A281" s="70"/>
      <c r="B281" s="70"/>
      <c r="C281" s="127"/>
      <c r="D281" s="114" t="s">
        <v>1188</v>
      </c>
      <c r="E281" s="389">
        <v>1</v>
      </c>
      <c r="F281" s="11">
        <v>151303</v>
      </c>
      <c r="G281" s="71">
        <f>0+'[1]táj.2'!G281</f>
        <v>0</v>
      </c>
      <c r="H281" s="71">
        <f>0+'[1]táj.2'!H281</f>
        <v>0</v>
      </c>
      <c r="I281" s="71">
        <f>1000+'[1]táj.2'!I281</f>
        <v>822</v>
      </c>
      <c r="J281" s="71">
        <f>0+'[1]táj.2'!J281</f>
        <v>0</v>
      </c>
      <c r="K281" s="71">
        <f>0+'[1]táj.2'!K281</f>
        <v>0</v>
      </c>
      <c r="L281" s="71">
        <f>0+'[1]táj.2'!L281</f>
        <v>0</v>
      </c>
      <c r="M281" s="71">
        <f>0+'[1]táj.2'!M281</f>
        <v>0</v>
      </c>
      <c r="N281" s="71">
        <f>0+'[1]táj.2'!N281</f>
        <v>0</v>
      </c>
      <c r="O281" s="71">
        <f>0+'[1]táj.2'!O281</f>
        <v>0</v>
      </c>
      <c r="P281" s="71">
        <f>0+'[1]táj.2'!P281</f>
        <v>0</v>
      </c>
      <c r="Q281" s="11">
        <f t="shared" si="17"/>
        <v>822</v>
      </c>
    </row>
    <row r="282" spans="1:17" ht="20.25" customHeight="1">
      <c r="A282" s="70"/>
      <c r="B282" s="70"/>
      <c r="C282" s="127"/>
      <c r="D282" s="266" t="s">
        <v>893</v>
      </c>
      <c r="E282" s="408">
        <v>2</v>
      </c>
      <c r="F282" s="29">
        <v>151315</v>
      </c>
      <c r="G282" s="71">
        <f>0+'[1]táj.2'!G282</f>
        <v>0</v>
      </c>
      <c r="H282" s="71">
        <f>0+'[1]táj.2'!H282</f>
        <v>0</v>
      </c>
      <c r="I282" s="71">
        <f>1000+'[1]táj.2'!I282</f>
        <v>1000</v>
      </c>
      <c r="J282" s="71">
        <f>0+'[1]táj.2'!J282</f>
        <v>0</v>
      </c>
      <c r="K282" s="71">
        <f>0+'[1]táj.2'!K282</f>
        <v>0</v>
      </c>
      <c r="L282" s="71">
        <f>110+'[1]táj.2'!L282</f>
        <v>110</v>
      </c>
      <c r="M282" s="71">
        <f>0+'[1]táj.2'!M282</f>
        <v>0</v>
      </c>
      <c r="N282" s="71">
        <f>0+'[1]táj.2'!N282</f>
        <v>0</v>
      </c>
      <c r="O282" s="71">
        <f>0+'[1]táj.2'!O282</f>
        <v>0</v>
      </c>
      <c r="P282" s="71">
        <f>0+'[1]táj.2'!P282</f>
        <v>0</v>
      </c>
      <c r="Q282" s="11">
        <f t="shared" si="17"/>
        <v>1110</v>
      </c>
    </row>
    <row r="283" spans="1:17" ht="18" customHeight="1">
      <c r="A283" s="70"/>
      <c r="B283" s="70"/>
      <c r="C283" s="127"/>
      <c r="D283" s="95" t="s">
        <v>159</v>
      </c>
      <c r="E283" s="409">
        <v>1</v>
      </c>
      <c r="F283" s="29">
        <v>151319</v>
      </c>
      <c r="G283" s="71">
        <f>0+'[1]táj.2'!G283</f>
        <v>0</v>
      </c>
      <c r="H283" s="71">
        <f>0+'[1]táj.2'!H283</f>
        <v>0</v>
      </c>
      <c r="I283" s="71">
        <f>800+'[1]táj.2'!I283</f>
        <v>800</v>
      </c>
      <c r="J283" s="71">
        <f>0+'[1]táj.2'!J283</f>
        <v>0</v>
      </c>
      <c r="K283" s="71">
        <f>0+'[1]táj.2'!K283</f>
        <v>0</v>
      </c>
      <c r="L283" s="71">
        <f>0+'[1]táj.2'!L283</f>
        <v>0</v>
      </c>
      <c r="M283" s="71">
        <f>0+'[1]táj.2'!M283</f>
        <v>0</v>
      </c>
      <c r="N283" s="71">
        <f>0+'[1]táj.2'!N283</f>
        <v>0</v>
      </c>
      <c r="O283" s="71">
        <f>0+'[1]táj.2'!O283</f>
        <v>0</v>
      </c>
      <c r="P283" s="71">
        <f>0+'[1]táj.2'!P283</f>
        <v>0</v>
      </c>
      <c r="Q283" s="11">
        <f t="shared" si="17"/>
        <v>800</v>
      </c>
    </row>
    <row r="284" spans="1:17" ht="24.75" customHeight="1">
      <c r="A284" s="70"/>
      <c r="B284" s="70"/>
      <c r="C284" s="127"/>
      <c r="D284" s="95" t="s">
        <v>745</v>
      </c>
      <c r="E284" s="388"/>
      <c r="F284" s="143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11"/>
    </row>
    <row r="285" spans="1:17" ht="13.5" customHeight="1">
      <c r="A285" s="70"/>
      <c r="B285" s="70"/>
      <c r="C285" s="127"/>
      <c r="D285" s="133" t="s">
        <v>224</v>
      </c>
      <c r="E285" s="10">
        <v>1</v>
      </c>
      <c r="F285" s="11">
        <v>151703</v>
      </c>
      <c r="G285" s="71">
        <f>0+'[1]táj.2'!G285</f>
        <v>0</v>
      </c>
      <c r="H285" s="71">
        <f>0+'[1]táj.2'!H285</f>
        <v>0</v>
      </c>
      <c r="I285" s="71">
        <f>2219+'[1]táj.2'!I285</f>
        <v>2219</v>
      </c>
      <c r="J285" s="71">
        <f>0+'[1]táj.2'!J285</f>
        <v>0</v>
      </c>
      <c r="K285" s="71">
        <f>0+'[1]táj.2'!K285</f>
        <v>0</v>
      </c>
      <c r="L285" s="71">
        <f>0+'[1]táj.2'!L285</f>
        <v>0</v>
      </c>
      <c r="M285" s="71">
        <f>0+'[1]táj.2'!M285</f>
        <v>0</v>
      </c>
      <c r="N285" s="71">
        <f>0+'[1]táj.2'!N285</f>
        <v>0</v>
      </c>
      <c r="O285" s="71">
        <f>0+'[1]táj.2'!O285</f>
        <v>0</v>
      </c>
      <c r="P285" s="71">
        <f>0+'[1]táj.2'!P285</f>
        <v>0</v>
      </c>
      <c r="Q285" s="11">
        <f>SUM(G285:P285)</f>
        <v>2219</v>
      </c>
    </row>
    <row r="286" spans="1:17" ht="13.5" customHeight="1">
      <c r="A286" s="70"/>
      <c r="B286" s="70"/>
      <c r="C286" s="127"/>
      <c r="D286" s="262" t="s">
        <v>746</v>
      </c>
      <c r="E286" s="389"/>
      <c r="F286" s="142"/>
      <c r="G286" s="71">
        <f>0+'[1]táj.2'!G286</f>
        <v>0</v>
      </c>
      <c r="H286" s="71">
        <f>0+'[1]táj.2'!H286</f>
        <v>0</v>
      </c>
      <c r="I286" s="71">
        <f>0+'[1]táj.2'!I286</f>
        <v>0</v>
      </c>
      <c r="J286" s="71">
        <f>0+'[1]táj.2'!J286</f>
        <v>0</v>
      </c>
      <c r="K286" s="71">
        <f>0+'[1]táj.2'!K286</f>
        <v>0</v>
      </c>
      <c r="L286" s="71">
        <f>0+'[1]táj.2'!L286</f>
        <v>0</v>
      </c>
      <c r="M286" s="71">
        <f>0+'[1]táj.2'!M286</f>
        <v>0</v>
      </c>
      <c r="N286" s="71">
        <f>0+'[1]táj.2'!N286</f>
        <v>0</v>
      </c>
      <c r="O286" s="71">
        <f>0+'[1]táj.2'!O286</f>
        <v>0</v>
      </c>
      <c r="P286" s="71">
        <f>0+'[1]táj.2'!P286</f>
        <v>0</v>
      </c>
      <c r="Q286" s="11"/>
    </row>
    <row r="287" spans="1:17" ht="13.5" customHeight="1">
      <c r="A287" s="70"/>
      <c r="B287" s="70"/>
      <c r="C287" s="127"/>
      <c r="D287" s="133" t="s">
        <v>225</v>
      </c>
      <c r="E287" s="10">
        <v>1</v>
      </c>
      <c r="F287" s="11">
        <v>151601</v>
      </c>
      <c r="G287" s="71">
        <f>0+'[1]táj.2'!G287</f>
        <v>12</v>
      </c>
      <c r="H287" s="71">
        <f>0+'[1]táj.2'!H287</f>
        <v>5</v>
      </c>
      <c r="I287" s="71">
        <f>14708+'[1]táj.2'!I287</f>
        <v>14373</v>
      </c>
      <c r="J287" s="71">
        <f>0+'[1]táj.2'!J287</f>
        <v>0</v>
      </c>
      <c r="K287" s="71">
        <f>0+'[1]táj.2'!K287</f>
        <v>0</v>
      </c>
      <c r="L287" s="71">
        <f>0+'[1]táj.2'!L287</f>
        <v>318</v>
      </c>
      <c r="M287" s="71">
        <f>0+'[1]táj.2'!M287</f>
        <v>0</v>
      </c>
      <c r="N287" s="71">
        <f>0+'[1]táj.2'!N287</f>
        <v>0</v>
      </c>
      <c r="O287" s="71">
        <f>0+'[1]táj.2'!O287</f>
        <v>0</v>
      </c>
      <c r="P287" s="71">
        <f>0+'[1]táj.2'!P287</f>
        <v>0</v>
      </c>
      <c r="Q287" s="11">
        <f aca="true" t="shared" si="18" ref="Q287:Q302">SUM(G287:P287)</f>
        <v>14708</v>
      </c>
    </row>
    <row r="288" spans="1:17" ht="13.5" customHeight="1">
      <c r="A288" s="70"/>
      <c r="B288" s="70"/>
      <c r="C288" s="127"/>
      <c r="D288" s="133" t="s">
        <v>226</v>
      </c>
      <c r="E288" s="10">
        <v>1</v>
      </c>
      <c r="F288" s="11">
        <v>151602</v>
      </c>
      <c r="G288" s="71">
        <f>0+'[1]táj.2'!G288</f>
        <v>0</v>
      </c>
      <c r="H288" s="71">
        <f>0+'[1]táj.2'!H288</f>
        <v>0</v>
      </c>
      <c r="I288" s="71">
        <f>0+'[1]táj.2'!I288</f>
        <v>0</v>
      </c>
      <c r="J288" s="71">
        <f>0+'[1]táj.2'!J288</f>
        <v>0</v>
      </c>
      <c r="K288" s="71">
        <f>19400+'[1]táj.2'!K288</f>
        <v>19400</v>
      </c>
      <c r="L288" s="71">
        <f>0+'[1]táj.2'!L288</f>
        <v>0</v>
      </c>
      <c r="M288" s="71">
        <f>0+'[1]táj.2'!M288</f>
        <v>0</v>
      </c>
      <c r="N288" s="71">
        <f>0+'[1]táj.2'!N288</f>
        <v>0</v>
      </c>
      <c r="O288" s="71">
        <f>0+'[1]táj.2'!O288</f>
        <v>0</v>
      </c>
      <c r="P288" s="71">
        <f>0+'[1]táj.2'!P288</f>
        <v>0</v>
      </c>
      <c r="Q288" s="11">
        <f t="shared" si="18"/>
        <v>19400</v>
      </c>
    </row>
    <row r="289" spans="1:17" ht="13.5" customHeight="1">
      <c r="A289" s="70"/>
      <c r="B289" s="70"/>
      <c r="C289" s="127"/>
      <c r="D289" s="133" t="s">
        <v>1165</v>
      </c>
      <c r="E289" s="10">
        <v>1</v>
      </c>
      <c r="F289" s="11">
        <v>151607</v>
      </c>
      <c r="G289" s="71">
        <f>0+'[1]táj.2'!G289</f>
        <v>0</v>
      </c>
      <c r="H289" s="71">
        <f>0+'[1]táj.2'!H289</f>
        <v>16</v>
      </c>
      <c r="I289" s="71">
        <f>26005+'[1]táj.2'!I289</f>
        <v>25249</v>
      </c>
      <c r="J289" s="71">
        <f>0+'[1]táj.2'!J289</f>
        <v>0</v>
      </c>
      <c r="K289" s="71">
        <f>0+'[1]táj.2'!K289</f>
        <v>0</v>
      </c>
      <c r="L289" s="71">
        <f>0+'[1]táj.2'!L289</f>
        <v>740</v>
      </c>
      <c r="M289" s="71">
        <f>0+'[1]táj.2'!M289</f>
        <v>0</v>
      </c>
      <c r="N289" s="71">
        <f>0+'[1]táj.2'!N289</f>
        <v>0</v>
      </c>
      <c r="O289" s="71">
        <f>0+'[1]táj.2'!O289</f>
        <v>0</v>
      </c>
      <c r="P289" s="71">
        <f>0+'[1]táj.2'!P289</f>
        <v>0</v>
      </c>
      <c r="Q289" s="11">
        <f t="shared" si="18"/>
        <v>26005</v>
      </c>
    </row>
    <row r="290" spans="1:17" ht="13.5" customHeight="1">
      <c r="A290" s="70"/>
      <c r="B290" s="70"/>
      <c r="C290" s="127"/>
      <c r="D290" s="133" t="s">
        <v>671</v>
      </c>
      <c r="E290" s="10">
        <v>2</v>
      </c>
      <c r="F290" s="11">
        <v>151610</v>
      </c>
      <c r="G290" s="71">
        <f>0+'[1]táj.2'!G290</f>
        <v>0</v>
      </c>
      <c r="H290" s="71">
        <f>0+'[1]táj.2'!H290</f>
        <v>0</v>
      </c>
      <c r="I290" s="71">
        <f>1000+'[1]táj.2'!I290</f>
        <v>630</v>
      </c>
      <c r="J290" s="71">
        <f>0+'[1]táj.2'!J290</f>
        <v>0</v>
      </c>
      <c r="K290" s="71">
        <f>0+'[1]táj.2'!K290</f>
        <v>370</v>
      </c>
      <c r="L290" s="71">
        <f>0+'[1]táj.2'!L290</f>
        <v>0</v>
      </c>
      <c r="M290" s="71">
        <f>0+'[1]táj.2'!M290</f>
        <v>0</v>
      </c>
      <c r="N290" s="71">
        <f>0+'[1]táj.2'!N290</f>
        <v>0</v>
      </c>
      <c r="O290" s="71">
        <f>0+'[1]táj.2'!O290</f>
        <v>0</v>
      </c>
      <c r="P290" s="71">
        <f>0+'[1]táj.2'!P290</f>
        <v>0</v>
      </c>
      <c r="Q290" s="11">
        <f t="shared" si="18"/>
        <v>1000</v>
      </c>
    </row>
    <row r="291" spans="1:17" ht="24" customHeight="1">
      <c r="A291" s="70" t="s">
        <v>572</v>
      </c>
      <c r="B291" s="70"/>
      <c r="C291" s="127"/>
      <c r="D291" s="95" t="s">
        <v>1068</v>
      </c>
      <c r="E291" s="389">
        <v>2</v>
      </c>
      <c r="F291" s="11">
        <v>151619</v>
      </c>
      <c r="G291" s="71">
        <f>0+'[1]táj.2'!G291</f>
        <v>0</v>
      </c>
      <c r="H291" s="71">
        <f>0+'[1]táj.2'!H291</f>
        <v>0</v>
      </c>
      <c r="I291" s="71">
        <f>45219+'[1]táj.2'!I291</f>
        <v>45219</v>
      </c>
      <c r="J291" s="71">
        <f>0+'[1]táj.2'!J291</f>
        <v>0</v>
      </c>
      <c r="K291" s="71">
        <f>0+'[1]táj.2'!K291</f>
        <v>0</v>
      </c>
      <c r="L291" s="71">
        <f>0+'[1]táj.2'!L291</f>
        <v>0</v>
      </c>
      <c r="M291" s="71">
        <f>0+'[1]táj.2'!M291</f>
        <v>0</v>
      </c>
      <c r="N291" s="71">
        <f>0+'[1]táj.2'!N291</f>
        <v>0</v>
      </c>
      <c r="O291" s="71">
        <f>0+'[1]táj.2'!O291</f>
        <v>0</v>
      </c>
      <c r="P291" s="71">
        <f>0+'[1]táj.2'!P291</f>
        <v>0</v>
      </c>
      <c r="Q291" s="11">
        <f t="shared" si="18"/>
        <v>45219</v>
      </c>
    </row>
    <row r="292" spans="1:17" ht="13.5" customHeight="1">
      <c r="A292" s="70"/>
      <c r="B292" s="70"/>
      <c r="C292" s="127"/>
      <c r="D292" s="262" t="s">
        <v>838</v>
      </c>
      <c r="E292" s="393">
        <v>2</v>
      </c>
      <c r="F292" s="11">
        <v>151626</v>
      </c>
      <c r="G292" s="71">
        <f>0+'[1]táj.2'!G292</f>
        <v>0</v>
      </c>
      <c r="H292" s="71">
        <f>0+'[1]táj.2'!H292</f>
        <v>0</v>
      </c>
      <c r="I292" s="71">
        <f>800+'[1]táj.2'!I292</f>
        <v>800</v>
      </c>
      <c r="J292" s="71">
        <f>0+'[1]táj.2'!J292</f>
        <v>0</v>
      </c>
      <c r="K292" s="71">
        <f>0+'[1]táj.2'!K292</f>
        <v>0</v>
      </c>
      <c r="L292" s="71">
        <f>0+'[1]táj.2'!L292</f>
        <v>0</v>
      </c>
      <c r="M292" s="71">
        <f>0+'[1]táj.2'!M292</f>
        <v>0</v>
      </c>
      <c r="N292" s="71">
        <f>0+'[1]táj.2'!N292</f>
        <v>0</v>
      </c>
      <c r="O292" s="71">
        <f>0+'[1]táj.2'!O292</f>
        <v>0</v>
      </c>
      <c r="P292" s="71">
        <f>0+'[1]táj.2'!P292</f>
        <v>0</v>
      </c>
      <c r="Q292" s="11">
        <f t="shared" si="18"/>
        <v>800</v>
      </c>
    </row>
    <row r="293" spans="1:17" ht="24.75" customHeight="1">
      <c r="A293" s="70"/>
      <c r="B293" s="70"/>
      <c r="C293" s="127"/>
      <c r="D293" s="114" t="s">
        <v>846</v>
      </c>
      <c r="E293" s="409">
        <v>2</v>
      </c>
      <c r="F293" s="29">
        <v>151627</v>
      </c>
      <c r="G293" s="71">
        <f>0+'[1]táj.2'!G293</f>
        <v>0</v>
      </c>
      <c r="H293" s="71">
        <f>0+'[1]táj.2'!H293</f>
        <v>0</v>
      </c>
      <c r="I293" s="71">
        <f>1000+'[1]táj.2'!I293</f>
        <v>1000</v>
      </c>
      <c r="J293" s="71">
        <f>0+'[1]táj.2'!J293</f>
        <v>0</v>
      </c>
      <c r="K293" s="71">
        <f>0+'[1]táj.2'!K293</f>
        <v>0</v>
      </c>
      <c r="L293" s="71">
        <f>0+'[1]táj.2'!L293</f>
        <v>0</v>
      </c>
      <c r="M293" s="71">
        <f>0+'[1]táj.2'!M293</f>
        <v>0</v>
      </c>
      <c r="N293" s="71">
        <f>0+'[1]táj.2'!N293</f>
        <v>0</v>
      </c>
      <c r="O293" s="71">
        <f>0+'[1]táj.2'!O293</f>
        <v>0</v>
      </c>
      <c r="P293" s="71">
        <f>0+'[1]táj.2'!P293</f>
        <v>0</v>
      </c>
      <c r="Q293" s="11">
        <f t="shared" si="18"/>
        <v>1000</v>
      </c>
    </row>
    <row r="294" spans="1:17" ht="13.5" customHeight="1">
      <c r="A294" s="70"/>
      <c r="B294" s="70"/>
      <c r="C294" s="127"/>
      <c r="D294" s="133" t="s">
        <v>220</v>
      </c>
      <c r="E294" s="10">
        <v>1</v>
      </c>
      <c r="F294" s="11">
        <v>151603</v>
      </c>
      <c r="G294" s="71">
        <f>0+'[1]táj.2'!G294</f>
        <v>0</v>
      </c>
      <c r="H294" s="71">
        <f>0+'[1]táj.2'!H294</f>
        <v>0</v>
      </c>
      <c r="I294" s="71">
        <f>64122+'[1]táj.2'!I294</f>
        <v>64122</v>
      </c>
      <c r="J294" s="71">
        <f>0+'[1]táj.2'!J294</f>
        <v>0</v>
      </c>
      <c r="K294" s="71">
        <f>0+'[1]táj.2'!K294</f>
        <v>0</v>
      </c>
      <c r="L294" s="71">
        <f>0+'[1]táj.2'!L294</f>
        <v>0</v>
      </c>
      <c r="M294" s="71">
        <f>0+'[1]táj.2'!M294</f>
        <v>0</v>
      </c>
      <c r="N294" s="71">
        <f>0+'[1]táj.2'!N294</f>
        <v>0</v>
      </c>
      <c r="O294" s="71">
        <f>0+'[1]táj.2'!O294</f>
        <v>0</v>
      </c>
      <c r="P294" s="71">
        <f>0+'[1]táj.2'!P294</f>
        <v>0</v>
      </c>
      <c r="Q294" s="11">
        <f t="shared" si="18"/>
        <v>64122</v>
      </c>
    </row>
    <row r="295" spans="1:17" ht="13.5" customHeight="1">
      <c r="A295" s="70"/>
      <c r="B295" s="70"/>
      <c r="C295" s="127"/>
      <c r="D295" s="133" t="s">
        <v>848</v>
      </c>
      <c r="E295" s="10">
        <v>1</v>
      </c>
      <c r="F295" s="11">
        <v>151605</v>
      </c>
      <c r="G295" s="71">
        <f>0+'[1]táj.2'!G295</f>
        <v>0</v>
      </c>
      <c r="H295" s="71">
        <f>0+'[1]táj.2'!H295</f>
        <v>0</v>
      </c>
      <c r="I295" s="71">
        <f>92000+'[1]táj.2'!I295</f>
        <v>92000</v>
      </c>
      <c r="J295" s="71">
        <f>0+'[1]táj.2'!J295</f>
        <v>0</v>
      </c>
      <c r="K295" s="71">
        <f>0+'[1]táj.2'!K295</f>
        <v>0</v>
      </c>
      <c r="L295" s="71">
        <f>0+'[1]táj.2'!L295</f>
        <v>0</v>
      </c>
      <c r="M295" s="71">
        <f>0+'[1]táj.2'!M295</f>
        <v>0</v>
      </c>
      <c r="N295" s="71">
        <f>0+'[1]táj.2'!N295</f>
        <v>0</v>
      </c>
      <c r="O295" s="71">
        <f>0+'[1]táj.2'!O295</f>
        <v>0</v>
      </c>
      <c r="P295" s="71">
        <f>0+'[1]táj.2'!P295</f>
        <v>0</v>
      </c>
      <c r="Q295" s="11">
        <f t="shared" si="18"/>
        <v>92000</v>
      </c>
    </row>
    <row r="296" spans="1:17" ht="13.5" customHeight="1">
      <c r="A296" s="70"/>
      <c r="B296" s="70"/>
      <c r="C296" s="127"/>
      <c r="D296" s="133" t="s">
        <v>223</v>
      </c>
      <c r="E296" s="10">
        <v>1</v>
      </c>
      <c r="F296" s="11">
        <v>151608</v>
      </c>
      <c r="G296" s="71">
        <f>0+'[1]táj.2'!G296</f>
        <v>0</v>
      </c>
      <c r="H296" s="71">
        <f>0+'[1]táj.2'!H296</f>
        <v>0</v>
      </c>
      <c r="I296" s="71">
        <f>90000+'[1]táj.2'!I296</f>
        <v>90000</v>
      </c>
      <c r="J296" s="71">
        <f>0+'[1]táj.2'!J296</f>
        <v>0</v>
      </c>
      <c r="K296" s="71">
        <f>0+'[1]táj.2'!K296</f>
        <v>0</v>
      </c>
      <c r="L296" s="71">
        <f>0+'[1]táj.2'!L296</f>
        <v>0</v>
      </c>
      <c r="M296" s="71">
        <f>0+'[1]táj.2'!M296</f>
        <v>0</v>
      </c>
      <c r="N296" s="71">
        <f>0+'[1]táj.2'!N296</f>
        <v>0</v>
      </c>
      <c r="O296" s="71">
        <f>0+'[1]táj.2'!O296</f>
        <v>0</v>
      </c>
      <c r="P296" s="71">
        <f>0+'[1]táj.2'!P296</f>
        <v>0</v>
      </c>
      <c r="Q296" s="11">
        <f t="shared" si="18"/>
        <v>90000</v>
      </c>
    </row>
    <row r="297" spans="1:17" ht="13.5" customHeight="1">
      <c r="A297" s="70"/>
      <c r="B297" s="70"/>
      <c r="C297" s="127"/>
      <c r="D297" s="133" t="s">
        <v>849</v>
      </c>
      <c r="E297" s="10">
        <v>2</v>
      </c>
      <c r="F297" s="11">
        <v>151624</v>
      </c>
      <c r="G297" s="71">
        <f>0+'[1]táj.2'!G297</f>
        <v>0</v>
      </c>
      <c r="H297" s="71">
        <f>0+'[1]táj.2'!H297</f>
        <v>0</v>
      </c>
      <c r="I297" s="71">
        <f>1000+'[1]táj.2'!I297</f>
        <v>0</v>
      </c>
      <c r="J297" s="71">
        <f>0+'[1]táj.2'!J297</f>
        <v>0</v>
      </c>
      <c r="K297" s="71">
        <f>0+'[1]táj.2'!K297</f>
        <v>1000</v>
      </c>
      <c r="L297" s="71">
        <f>0+'[1]táj.2'!L297</f>
        <v>0</v>
      </c>
      <c r="M297" s="71">
        <f>0+'[1]táj.2'!M297</f>
        <v>0</v>
      </c>
      <c r="N297" s="71">
        <f>0+'[1]táj.2'!N297</f>
        <v>0</v>
      </c>
      <c r="O297" s="71">
        <f>0+'[1]táj.2'!O297</f>
        <v>0</v>
      </c>
      <c r="P297" s="71">
        <f>0+'[1]táj.2'!P297</f>
        <v>0</v>
      </c>
      <c r="Q297" s="11">
        <f t="shared" si="18"/>
        <v>1000</v>
      </c>
    </row>
    <row r="298" spans="1:17" ht="13.5" customHeight="1">
      <c r="A298" s="70"/>
      <c r="B298" s="70"/>
      <c r="C298" s="127"/>
      <c r="D298" s="133" t="s">
        <v>1151</v>
      </c>
      <c r="E298" s="10">
        <v>1</v>
      </c>
      <c r="F298" s="11">
        <v>151631</v>
      </c>
      <c r="G298" s="71">
        <f>0+'[1]táj.2'!G298</f>
        <v>0</v>
      </c>
      <c r="H298" s="71">
        <f>0+'[1]táj.2'!H298</f>
        <v>0</v>
      </c>
      <c r="I298" s="71">
        <f>4301+'[1]táj.2'!I298</f>
        <v>4301</v>
      </c>
      <c r="J298" s="71">
        <f>0+'[1]táj.2'!J298</f>
        <v>0</v>
      </c>
      <c r="K298" s="71">
        <f>0+'[1]táj.2'!K298</f>
        <v>0</v>
      </c>
      <c r="L298" s="71">
        <f>0+'[1]táj.2'!L298</f>
        <v>0</v>
      </c>
      <c r="M298" s="71">
        <f>0+'[1]táj.2'!M298</f>
        <v>0</v>
      </c>
      <c r="N298" s="71">
        <f>0+'[1]táj.2'!N298</f>
        <v>0</v>
      </c>
      <c r="O298" s="71">
        <f>0+'[1]táj.2'!O298</f>
        <v>0</v>
      </c>
      <c r="P298" s="71">
        <f>0+'[1]táj.2'!P298</f>
        <v>0</v>
      </c>
      <c r="Q298" s="11">
        <f t="shared" si="18"/>
        <v>4301</v>
      </c>
    </row>
    <row r="299" spans="1:17" ht="13.5" customHeight="1">
      <c r="A299" s="70"/>
      <c r="B299" s="70"/>
      <c r="C299" s="127"/>
      <c r="D299" s="288" t="s">
        <v>1156</v>
      </c>
      <c r="E299" s="10">
        <v>1</v>
      </c>
      <c r="F299" s="11">
        <v>151632</v>
      </c>
      <c r="G299" s="71">
        <f>0+'[1]táj.2'!G299</f>
        <v>0</v>
      </c>
      <c r="H299" s="71">
        <f>0+'[1]táj.2'!H299</f>
        <v>0</v>
      </c>
      <c r="I299" s="71">
        <f>1457+'[1]táj.2'!I299</f>
        <v>1757</v>
      </c>
      <c r="J299" s="71">
        <f>0+'[1]táj.2'!J299</f>
        <v>0</v>
      </c>
      <c r="K299" s="71">
        <f>0+'[1]táj.2'!K299</f>
        <v>0</v>
      </c>
      <c r="L299" s="71">
        <f>0+'[1]táj.2'!L299</f>
        <v>0</v>
      </c>
      <c r="M299" s="71">
        <f>0+'[1]táj.2'!M299</f>
        <v>0</v>
      </c>
      <c r="N299" s="71">
        <f>0+'[1]táj.2'!N299</f>
        <v>0</v>
      </c>
      <c r="O299" s="71">
        <f>0+'[1]táj.2'!O299</f>
        <v>0</v>
      </c>
      <c r="P299" s="71">
        <f>0+'[1]táj.2'!P299</f>
        <v>0</v>
      </c>
      <c r="Q299" s="11">
        <f t="shared" si="18"/>
        <v>1757</v>
      </c>
    </row>
    <row r="300" spans="1:17" ht="24.75" customHeight="1">
      <c r="A300" s="70"/>
      <c r="B300" s="70"/>
      <c r="C300" s="127"/>
      <c r="D300" s="577" t="s">
        <v>349</v>
      </c>
      <c r="E300" s="10">
        <v>1</v>
      </c>
      <c r="F300" s="11">
        <v>151635</v>
      </c>
      <c r="G300" s="71">
        <f>0+'[1]táj.2'!G300</f>
        <v>0</v>
      </c>
      <c r="H300" s="71">
        <f>0+'[1]táj.2'!H300</f>
        <v>0</v>
      </c>
      <c r="I300" s="71">
        <f>4000+'[1]táj.2'!I300</f>
        <v>4000</v>
      </c>
      <c r="J300" s="71">
        <f>0+'[1]táj.2'!J300</f>
        <v>0</v>
      </c>
      <c r="K300" s="71">
        <f>0+'[1]táj.2'!K300</f>
        <v>0</v>
      </c>
      <c r="L300" s="71">
        <f>0+'[1]táj.2'!L300</f>
        <v>0</v>
      </c>
      <c r="M300" s="71">
        <f>0+'[1]táj.2'!M300</f>
        <v>0</v>
      </c>
      <c r="N300" s="71">
        <f>0+'[1]táj.2'!N300</f>
        <v>0</v>
      </c>
      <c r="O300" s="71">
        <f>0+'[1]táj.2'!O300</f>
        <v>0</v>
      </c>
      <c r="P300" s="71">
        <f>0+'[1]táj.2'!P300</f>
        <v>0</v>
      </c>
      <c r="Q300" s="11">
        <f t="shared" si="18"/>
        <v>4000</v>
      </c>
    </row>
    <row r="301" spans="1:17" ht="13.5" customHeight="1">
      <c r="A301" s="70"/>
      <c r="B301" s="70"/>
      <c r="C301" s="127"/>
      <c r="D301" s="263" t="s">
        <v>157</v>
      </c>
      <c r="E301" s="10">
        <v>1</v>
      </c>
      <c r="F301" s="11">
        <v>151612</v>
      </c>
      <c r="G301" s="71">
        <f>0+'[1]táj.2'!G301</f>
        <v>0</v>
      </c>
      <c r="H301" s="71">
        <f>0+'[1]táj.2'!H301</f>
        <v>0</v>
      </c>
      <c r="I301" s="71">
        <f>2000+'[1]táj.2'!I301</f>
        <v>2000</v>
      </c>
      <c r="J301" s="71">
        <f>0+'[1]táj.2'!J301</f>
        <v>0</v>
      </c>
      <c r="K301" s="71">
        <f>0+'[1]táj.2'!K301</f>
        <v>0</v>
      </c>
      <c r="L301" s="71">
        <f>0+'[1]táj.2'!L301</f>
        <v>0</v>
      </c>
      <c r="M301" s="71">
        <f>0+'[1]táj.2'!M301</f>
        <v>0</v>
      </c>
      <c r="N301" s="71">
        <f>0+'[1]táj.2'!N301</f>
        <v>0</v>
      </c>
      <c r="O301" s="71">
        <f>0+'[1]táj.2'!O301</f>
        <v>0</v>
      </c>
      <c r="P301" s="71">
        <f>0+'[1]táj.2'!P301</f>
        <v>0</v>
      </c>
      <c r="Q301" s="11">
        <f t="shared" si="18"/>
        <v>2000</v>
      </c>
    </row>
    <row r="302" spans="1:17" ht="13.5" customHeight="1">
      <c r="A302" s="70"/>
      <c r="B302" s="70"/>
      <c r="C302" s="127"/>
      <c r="D302" s="263" t="s">
        <v>158</v>
      </c>
      <c r="E302" s="10">
        <v>1</v>
      </c>
      <c r="F302" s="11">
        <v>151614</v>
      </c>
      <c r="G302" s="71">
        <f>0+'[1]táj.2'!G302</f>
        <v>0</v>
      </c>
      <c r="H302" s="71">
        <f>0+'[1]táj.2'!H302</f>
        <v>0</v>
      </c>
      <c r="I302" s="71">
        <f>2000+'[1]táj.2'!I302</f>
        <v>2000</v>
      </c>
      <c r="J302" s="71">
        <f>0+'[1]táj.2'!J302</f>
        <v>0</v>
      </c>
      <c r="K302" s="71">
        <f>0+'[1]táj.2'!K302</f>
        <v>0</v>
      </c>
      <c r="L302" s="71">
        <f>0+'[1]táj.2'!L302</f>
        <v>0</v>
      </c>
      <c r="M302" s="71">
        <f>0+'[1]táj.2'!M302</f>
        <v>0</v>
      </c>
      <c r="N302" s="71">
        <f>0+'[1]táj.2'!N302</f>
        <v>0</v>
      </c>
      <c r="O302" s="71">
        <f>0+'[1]táj.2'!O302</f>
        <v>0</v>
      </c>
      <c r="P302" s="71">
        <f>0+'[1]táj.2'!P302</f>
        <v>0</v>
      </c>
      <c r="Q302" s="11">
        <f t="shared" si="18"/>
        <v>2000</v>
      </c>
    </row>
    <row r="303" spans="1:17" ht="12.75" customHeight="1">
      <c r="A303" s="70"/>
      <c r="B303" s="70"/>
      <c r="C303" s="127"/>
      <c r="D303" s="261" t="s">
        <v>747</v>
      </c>
      <c r="E303" s="10"/>
      <c r="F303" s="1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11"/>
    </row>
    <row r="304" spans="1:17" ht="24" customHeight="1">
      <c r="A304" s="70"/>
      <c r="B304" s="70"/>
      <c r="C304" s="127"/>
      <c r="D304" s="95" t="s">
        <v>1164</v>
      </c>
      <c r="E304" s="10">
        <v>1</v>
      </c>
      <c r="F304" s="11">
        <v>151505</v>
      </c>
      <c r="G304" s="71">
        <f>0+'[1]táj.2'!G304</f>
        <v>0</v>
      </c>
      <c r="H304" s="71">
        <f>0+'[1]táj.2'!H304</f>
        <v>0</v>
      </c>
      <c r="I304" s="71">
        <f>4000+'[1]táj.2'!I304</f>
        <v>4000</v>
      </c>
      <c r="J304" s="71">
        <f>0+'[1]táj.2'!J304</f>
        <v>0</v>
      </c>
      <c r="K304" s="71">
        <f>0+'[1]táj.2'!K304</f>
        <v>0</v>
      </c>
      <c r="L304" s="71">
        <f>0+'[1]táj.2'!L304</f>
        <v>0</v>
      </c>
      <c r="M304" s="71">
        <f>0+'[1]táj.2'!M304</f>
        <v>0</v>
      </c>
      <c r="N304" s="71">
        <f>0+'[1]táj.2'!N304</f>
        <v>0</v>
      </c>
      <c r="O304" s="71">
        <f>0+'[1]táj.2'!O304</f>
        <v>0</v>
      </c>
      <c r="P304" s="71">
        <f>0+'[1]táj.2'!P304</f>
        <v>0</v>
      </c>
      <c r="Q304" s="11">
        <f>SUM(G304:P304)</f>
        <v>4000</v>
      </c>
    </row>
    <row r="305" spans="1:17" ht="12.75" customHeight="1">
      <c r="A305" s="70"/>
      <c r="B305" s="70"/>
      <c r="C305" s="127"/>
      <c r="D305" s="262" t="s">
        <v>748</v>
      </c>
      <c r="E305" s="389"/>
      <c r="F305" s="142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11"/>
    </row>
    <row r="306" spans="1:17" ht="13.5" customHeight="1">
      <c r="A306" s="70"/>
      <c r="B306" s="70"/>
      <c r="C306" s="70"/>
      <c r="D306" s="133" t="s">
        <v>833</v>
      </c>
      <c r="E306" s="10">
        <v>2</v>
      </c>
      <c r="F306" s="11">
        <v>151906</v>
      </c>
      <c r="G306" s="71">
        <f>0+'[1]táj.2'!G306</f>
        <v>0</v>
      </c>
      <c r="H306" s="71">
        <f>0+'[1]táj.2'!H306</f>
        <v>0</v>
      </c>
      <c r="I306" s="71">
        <f>130376+'[1]táj.2'!I306</f>
        <v>130376</v>
      </c>
      <c r="J306" s="71">
        <f>0+'[1]táj.2'!J306</f>
        <v>0</v>
      </c>
      <c r="K306" s="71">
        <f>0+'[1]táj.2'!K306</f>
        <v>0</v>
      </c>
      <c r="L306" s="71">
        <f>0+'[1]táj.2'!L306</f>
        <v>0</v>
      </c>
      <c r="M306" s="71">
        <f>0+'[1]táj.2'!M306</f>
        <v>0</v>
      </c>
      <c r="N306" s="71">
        <f>0+'[1]táj.2'!N306</f>
        <v>0</v>
      </c>
      <c r="O306" s="71">
        <f>0+'[1]táj.2'!O306</f>
        <v>0</v>
      </c>
      <c r="P306" s="71">
        <f>0+'[1]táj.2'!P306</f>
        <v>0</v>
      </c>
      <c r="Q306" s="11">
        <f>SUM(G306:P306)</f>
        <v>130376</v>
      </c>
    </row>
    <row r="307" spans="1:17" ht="13.5" customHeight="1">
      <c r="A307" s="70"/>
      <c r="B307" s="70"/>
      <c r="C307" s="127"/>
      <c r="D307" s="133" t="s">
        <v>676</v>
      </c>
      <c r="E307" s="10">
        <v>2</v>
      </c>
      <c r="F307" s="11">
        <v>151915</v>
      </c>
      <c r="G307" s="71">
        <f>0+'[1]táj.2'!G307</f>
        <v>0</v>
      </c>
      <c r="H307" s="71">
        <f>0+'[1]táj.2'!H307</f>
        <v>0</v>
      </c>
      <c r="I307" s="71">
        <f>2667+'[1]táj.2'!I307</f>
        <v>2667</v>
      </c>
      <c r="J307" s="71">
        <f>0+'[1]táj.2'!J307</f>
        <v>0</v>
      </c>
      <c r="K307" s="71">
        <f>0+'[1]táj.2'!K307</f>
        <v>0</v>
      </c>
      <c r="L307" s="71">
        <f>0+'[1]táj.2'!L307</f>
        <v>0</v>
      </c>
      <c r="M307" s="71">
        <f>0+'[1]táj.2'!M307</f>
        <v>0</v>
      </c>
      <c r="N307" s="71">
        <f>0+'[1]táj.2'!N307</f>
        <v>0</v>
      </c>
      <c r="O307" s="71">
        <f>0+'[1]táj.2'!O307</f>
        <v>0</v>
      </c>
      <c r="P307" s="71">
        <f>0+'[1]táj.2'!P307</f>
        <v>0</v>
      </c>
      <c r="Q307" s="11">
        <f>SUM(G307:P307)</f>
        <v>2667</v>
      </c>
    </row>
    <row r="308" spans="1:17" ht="13.5" customHeight="1">
      <c r="A308" s="70"/>
      <c r="B308" s="70"/>
      <c r="C308" s="127"/>
      <c r="D308" s="133" t="s">
        <v>851</v>
      </c>
      <c r="E308" s="10">
        <v>2</v>
      </c>
      <c r="F308" s="11">
        <v>151907</v>
      </c>
      <c r="G308" s="71">
        <f>0+'[1]táj.2'!G308</f>
        <v>0</v>
      </c>
      <c r="H308" s="71">
        <f>0+'[1]táj.2'!H308</f>
        <v>0</v>
      </c>
      <c r="I308" s="71">
        <f>175260+'[1]táj.2'!I308</f>
        <v>175260</v>
      </c>
      <c r="J308" s="71">
        <f>0+'[1]táj.2'!J308</f>
        <v>0</v>
      </c>
      <c r="K308" s="71">
        <f>0+'[1]táj.2'!K308</f>
        <v>0</v>
      </c>
      <c r="L308" s="71">
        <f>0+'[1]táj.2'!L308</f>
        <v>0</v>
      </c>
      <c r="M308" s="71">
        <f>0+'[1]táj.2'!M308</f>
        <v>0</v>
      </c>
      <c r="N308" s="71">
        <f>0+'[1]táj.2'!N308</f>
        <v>0</v>
      </c>
      <c r="O308" s="71">
        <f>0+'[1]táj.2'!O308</f>
        <v>0</v>
      </c>
      <c r="P308" s="71">
        <f>0+'[1]táj.2'!P308</f>
        <v>0</v>
      </c>
      <c r="Q308" s="11">
        <f>SUM(G308:P308)</f>
        <v>175260</v>
      </c>
    </row>
    <row r="309" spans="1:17" ht="13.5" customHeight="1">
      <c r="A309" s="70"/>
      <c r="B309" s="70"/>
      <c r="C309" s="127"/>
      <c r="D309" s="133" t="s">
        <v>222</v>
      </c>
      <c r="E309" s="10">
        <v>2</v>
      </c>
      <c r="F309" s="11">
        <v>151914</v>
      </c>
      <c r="G309" s="71">
        <f>0+'[1]táj.2'!G309</f>
        <v>0</v>
      </c>
      <c r="H309" s="71">
        <f>0+'[1]táj.2'!H309</f>
        <v>0</v>
      </c>
      <c r="I309" s="71">
        <f>1000+'[1]táj.2'!I309</f>
        <v>1000</v>
      </c>
      <c r="J309" s="71">
        <f>0+'[1]táj.2'!J309</f>
        <v>0</v>
      </c>
      <c r="K309" s="71">
        <f>0+'[1]táj.2'!K309</f>
        <v>0</v>
      </c>
      <c r="L309" s="71">
        <f>0+'[1]táj.2'!L309</f>
        <v>0</v>
      </c>
      <c r="M309" s="71">
        <f>0+'[1]táj.2'!M309</f>
        <v>0</v>
      </c>
      <c r="N309" s="71">
        <f>0+'[1]táj.2'!N309</f>
        <v>0</v>
      </c>
      <c r="O309" s="71">
        <f>0+'[1]táj.2'!O309</f>
        <v>0</v>
      </c>
      <c r="P309" s="71">
        <f>0+'[1]táj.2'!P309</f>
        <v>0</v>
      </c>
      <c r="Q309" s="11">
        <f>SUM(G309:P309)</f>
        <v>1000</v>
      </c>
    </row>
    <row r="310" spans="1:17" ht="13.5" customHeight="1">
      <c r="A310" s="70"/>
      <c r="B310" s="70"/>
      <c r="C310" s="127"/>
      <c r="D310" s="262" t="s">
        <v>749</v>
      </c>
      <c r="E310" s="389"/>
      <c r="F310" s="142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11"/>
    </row>
    <row r="311" spans="1:17" ht="13.5" customHeight="1">
      <c r="A311" s="70"/>
      <c r="B311" s="70"/>
      <c r="C311" s="127"/>
      <c r="D311" s="262" t="s">
        <v>185</v>
      </c>
      <c r="E311" s="389">
        <v>1</v>
      </c>
      <c r="F311" s="11">
        <v>151801</v>
      </c>
      <c r="G311" s="71">
        <f>0+'[1]táj.2'!G311</f>
        <v>0</v>
      </c>
      <c r="H311" s="71">
        <f>0+'[1]táj.2'!H311</f>
        <v>0</v>
      </c>
      <c r="I311" s="71">
        <f>0+'[1]táj.2'!I311</f>
        <v>0</v>
      </c>
      <c r="J311" s="71">
        <f>0+'[1]táj.2'!J311</f>
        <v>0</v>
      </c>
      <c r="K311" s="71">
        <f>24000+'[1]táj.2'!K311</f>
        <v>24000</v>
      </c>
      <c r="L311" s="71">
        <f>0+'[1]táj.2'!L311</f>
        <v>0</v>
      </c>
      <c r="M311" s="71">
        <f>0+'[1]táj.2'!M311</f>
        <v>0</v>
      </c>
      <c r="N311" s="71">
        <f>0+'[1]táj.2'!N311</f>
        <v>0</v>
      </c>
      <c r="O311" s="71">
        <f>0+'[1]táj.2'!O311</f>
        <v>0</v>
      </c>
      <c r="P311" s="71">
        <f>0+'[1]táj.2'!P311</f>
        <v>0</v>
      </c>
      <c r="Q311" s="11">
        <f>SUM(G311:P311)</f>
        <v>24000</v>
      </c>
    </row>
    <row r="312" spans="1:17" ht="13.5" customHeight="1">
      <c r="A312" s="70"/>
      <c r="B312" s="70"/>
      <c r="C312" s="127"/>
      <c r="D312" s="262" t="s">
        <v>172</v>
      </c>
      <c r="E312" s="389">
        <v>1</v>
      </c>
      <c r="F312" s="11">
        <v>151803</v>
      </c>
      <c r="G312" s="71">
        <f>0+'[1]táj.2'!G312</f>
        <v>0</v>
      </c>
      <c r="H312" s="71">
        <f>0+'[1]táj.2'!H312</f>
        <v>0</v>
      </c>
      <c r="I312" s="71">
        <f>219+'[1]táj.2'!I312</f>
        <v>219</v>
      </c>
      <c r="J312" s="71">
        <f>0+'[1]táj.2'!J312</f>
        <v>0</v>
      </c>
      <c r="K312" s="71">
        <f>0+'[1]táj.2'!K312</f>
        <v>0</v>
      </c>
      <c r="L312" s="71">
        <f>0+'[1]táj.2'!L312</f>
        <v>0</v>
      </c>
      <c r="M312" s="71">
        <f>0+'[1]táj.2'!M312</f>
        <v>0</v>
      </c>
      <c r="N312" s="71">
        <f>0+'[1]táj.2'!N312</f>
        <v>0</v>
      </c>
      <c r="O312" s="71">
        <f>0+'[1]táj.2'!O312</f>
        <v>0</v>
      </c>
      <c r="P312" s="71">
        <f>0+'[1]táj.2'!P312</f>
        <v>0</v>
      </c>
      <c r="Q312" s="11">
        <f>SUM(G312:P312)</f>
        <v>219</v>
      </c>
    </row>
    <row r="313" spans="1:17" ht="13.5" customHeight="1">
      <c r="A313" s="70"/>
      <c r="B313" s="70"/>
      <c r="C313" s="127"/>
      <c r="D313" s="267" t="s">
        <v>895</v>
      </c>
      <c r="E313" s="410">
        <v>1</v>
      </c>
      <c r="F313" s="11">
        <v>151802</v>
      </c>
      <c r="G313" s="71">
        <f>0+'[1]táj.2'!G313</f>
        <v>0</v>
      </c>
      <c r="H313" s="71">
        <f>0+'[1]táj.2'!H313</f>
        <v>0</v>
      </c>
      <c r="I313" s="71">
        <f>194+'[1]táj.2'!I313</f>
        <v>194</v>
      </c>
      <c r="J313" s="71">
        <f>0+'[1]táj.2'!J313</f>
        <v>0</v>
      </c>
      <c r="K313" s="71">
        <f>0+'[1]táj.2'!K313</f>
        <v>0</v>
      </c>
      <c r="L313" s="71">
        <f>0+'[1]táj.2'!L313</f>
        <v>0</v>
      </c>
      <c r="M313" s="71">
        <f>0+'[1]táj.2'!M313</f>
        <v>0</v>
      </c>
      <c r="N313" s="71">
        <f>0+'[1]táj.2'!N313</f>
        <v>0</v>
      </c>
      <c r="O313" s="71">
        <f>0+'[1]táj.2'!O313</f>
        <v>0</v>
      </c>
      <c r="P313" s="71">
        <f>0+'[1]táj.2'!P313</f>
        <v>0</v>
      </c>
      <c r="Q313" s="11">
        <f>SUM(G313:P313)</f>
        <v>194</v>
      </c>
    </row>
    <row r="314" spans="1:17" ht="13.5" customHeight="1">
      <c r="A314" s="70"/>
      <c r="B314" s="70"/>
      <c r="C314" s="127"/>
      <c r="D314" s="262" t="s">
        <v>790</v>
      </c>
      <c r="E314" s="389"/>
      <c r="F314" s="142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11"/>
    </row>
    <row r="315" spans="1:17" ht="13.5" customHeight="1">
      <c r="A315" s="70"/>
      <c r="B315" s="70"/>
      <c r="C315" s="127"/>
      <c r="D315" s="262" t="s">
        <v>153</v>
      </c>
      <c r="E315" s="10">
        <v>1</v>
      </c>
      <c r="F315" s="11">
        <v>151201</v>
      </c>
      <c r="G315" s="71">
        <f>0+'[1]táj.2'!G315</f>
        <v>0</v>
      </c>
      <c r="H315" s="71">
        <f>0+'[1]táj.2'!H315</f>
        <v>0</v>
      </c>
      <c r="I315" s="71">
        <f>124163+'[1]táj.2'!I315</f>
        <v>123956</v>
      </c>
      <c r="J315" s="71">
        <f>0+'[1]táj.2'!J315</f>
        <v>0</v>
      </c>
      <c r="K315" s="71">
        <f>0+'[1]táj.2'!K315</f>
        <v>0</v>
      </c>
      <c r="L315" s="71">
        <f>0+'[1]táj.2'!L315</f>
        <v>0</v>
      </c>
      <c r="M315" s="71">
        <f>0+'[1]táj.2'!M315</f>
        <v>0</v>
      </c>
      <c r="N315" s="71">
        <f>0+'[1]táj.2'!N315</f>
        <v>0</v>
      </c>
      <c r="O315" s="71">
        <f>0+'[1]táj.2'!O315</f>
        <v>0</v>
      </c>
      <c r="P315" s="71">
        <f>0+'[1]táj.2'!P315</f>
        <v>0</v>
      </c>
      <c r="Q315" s="11">
        <f aca="true" t="shared" si="19" ref="Q315:Q320">SUM(G315:P315)</f>
        <v>123956</v>
      </c>
    </row>
    <row r="316" spans="1:17" ht="13.5" customHeight="1">
      <c r="A316" s="70"/>
      <c r="B316" s="70"/>
      <c r="C316" s="127"/>
      <c r="D316" s="262" t="s">
        <v>1014</v>
      </c>
      <c r="E316" s="389">
        <v>1</v>
      </c>
      <c r="F316" s="11">
        <v>151204</v>
      </c>
      <c r="G316" s="71">
        <f>0+'[1]táj.2'!G316</f>
        <v>0</v>
      </c>
      <c r="H316" s="71">
        <f>0+'[1]táj.2'!H316</f>
        <v>0</v>
      </c>
      <c r="I316" s="71">
        <f>1000+'[1]táj.2'!I316</f>
        <v>1207</v>
      </c>
      <c r="J316" s="71">
        <f>0+'[1]táj.2'!J316</f>
        <v>0</v>
      </c>
      <c r="K316" s="71">
        <f>0+'[1]táj.2'!K316</f>
        <v>0</v>
      </c>
      <c r="L316" s="71">
        <f>0+'[1]táj.2'!L316</f>
        <v>0</v>
      </c>
      <c r="M316" s="71">
        <f>0+'[1]táj.2'!M316</f>
        <v>0</v>
      </c>
      <c r="N316" s="71">
        <f>0+'[1]táj.2'!N316</f>
        <v>0</v>
      </c>
      <c r="O316" s="71">
        <f>0+'[1]táj.2'!O316</f>
        <v>0</v>
      </c>
      <c r="P316" s="71">
        <f>0+'[1]táj.2'!P316</f>
        <v>0</v>
      </c>
      <c r="Q316" s="11">
        <f t="shared" si="19"/>
        <v>1207</v>
      </c>
    </row>
    <row r="317" spans="1:17" ht="13.5" customHeight="1">
      <c r="A317" s="70"/>
      <c r="B317" s="70"/>
      <c r="C317" s="127"/>
      <c r="D317" s="262" t="s">
        <v>1017</v>
      </c>
      <c r="E317" s="389">
        <v>1</v>
      </c>
      <c r="F317" s="11">
        <v>151202</v>
      </c>
      <c r="G317" s="71">
        <f>0+'[1]táj.2'!G317</f>
        <v>0</v>
      </c>
      <c r="H317" s="71">
        <f>0+'[1]táj.2'!H317</f>
        <v>0</v>
      </c>
      <c r="I317" s="71">
        <f>19974+'[1]táj.2'!I317</f>
        <v>19974</v>
      </c>
      <c r="J317" s="71">
        <f>0+'[1]táj.2'!J317</f>
        <v>0</v>
      </c>
      <c r="K317" s="71">
        <f>0+'[1]táj.2'!K317</f>
        <v>0</v>
      </c>
      <c r="L317" s="71">
        <f>0+'[1]táj.2'!L317</f>
        <v>0</v>
      </c>
      <c r="M317" s="71">
        <f>0+'[1]táj.2'!M317</f>
        <v>0</v>
      </c>
      <c r="N317" s="71">
        <f>0+'[1]táj.2'!N317</f>
        <v>0</v>
      </c>
      <c r="O317" s="71">
        <f>0+'[1]táj.2'!O317</f>
        <v>0</v>
      </c>
      <c r="P317" s="71">
        <f>0+'[1]táj.2'!P317</f>
        <v>0</v>
      </c>
      <c r="Q317" s="11">
        <f t="shared" si="19"/>
        <v>19974</v>
      </c>
    </row>
    <row r="318" spans="1:17" ht="13.5" customHeight="1">
      <c r="A318" s="70"/>
      <c r="B318" s="70"/>
      <c r="C318" s="127"/>
      <c r="D318" s="262" t="s">
        <v>1018</v>
      </c>
      <c r="E318" s="389">
        <v>1</v>
      </c>
      <c r="F318" s="11">
        <v>151205</v>
      </c>
      <c r="G318" s="71">
        <f>0+'[1]táj.2'!G318</f>
        <v>0</v>
      </c>
      <c r="H318" s="71">
        <f>0+'[1]táj.2'!H318</f>
        <v>0</v>
      </c>
      <c r="I318" s="71">
        <f>500+'[1]táj.2'!I318</f>
        <v>500</v>
      </c>
      <c r="J318" s="71">
        <f>0+'[1]táj.2'!J318</f>
        <v>0</v>
      </c>
      <c r="K318" s="71">
        <f>0+'[1]táj.2'!K318</f>
        <v>0</v>
      </c>
      <c r="L318" s="71">
        <f>0+'[1]táj.2'!L318</f>
        <v>0</v>
      </c>
      <c r="M318" s="71">
        <f>0+'[1]táj.2'!M318</f>
        <v>0</v>
      </c>
      <c r="N318" s="71">
        <f>0+'[1]táj.2'!N318</f>
        <v>0</v>
      </c>
      <c r="O318" s="71">
        <f>0+'[1]táj.2'!O318</f>
        <v>0</v>
      </c>
      <c r="P318" s="71">
        <f>0+'[1]táj.2'!P318</f>
        <v>0</v>
      </c>
      <c r="Q318" s="11">
        <f t="shared" si="19"/>
        <v>500</v>
      </c>
    </row>
    <row r="319" spans="1:17" ht="13.5" customHeight="1">
      <c r="A319" s="70"/>
      <c r="B319" s="70"/>
      <c r="C319" s="127"/>
      <c r="D319" s="262" t="s">
        <v>791</v>
      </c>
      <c r="E319" s="389">
        <v>1</v>
      </c>
      <c r="F319" s="11">
        <v>151902</v>
      </c>
      <c r="G319" s="71">
        <f>7048+'[1]táj.2'!G319</f>
        <v>7048</v>
      </c>
      <c r="H319" s="71">
        <f>1241+'[1]táj.2'!H319</f>
        <v>1241</v>
      </c>
      <c r="I319" s="71">
        <f>6015+'[1]táj.2'!I319</f>
        <v>6015</v>
      </c>
      <c r="J319" s="71">
        <f>0+'[1]táj.2'!J319</f>
        <v>0</v>
      </c>
      <c r="K319" s="71">
        <f>0+'[1]táj.2'!K319</f>
        <v>0</v>
      </c>
      <c r="L319" s="71">
        <f>0+'[1]táj.2'!L319</f>
        <v>0</v>
      </c>
      <c r="M319" s="71">
        <f>0+'[1]táj.2'!M319</f>
        <v>0</v>
      </c>
      <c r="N319" s="71">
        <f>0+'[1]táj.2'!N319</f>
        <v>0</v>
      </c>
      <c r="O319" s="71">
        <f>0+'[1]táj.2'!O319</f>
        <v>0</v>
      </c>
      <c r="P319" s="71">
        <f>0+'[1]táj.2'!P319</f>
        <v>0</v>
      </c>
      <c r="Q319" s="11">
        <f t="shared" si="19"/>
        <v>14304</v>
      </c>
    </row>
    <row r="320" spans="1:17" ht="13.5" customHeight="1">
      <c r="A320" s="70"/>
      <c r="B320" s="70"/>
      <c r="C320" s="127"/>
      <c r="D320" s="262" t="s">
        <v>156</v>
      </c>
      <c r="E320" s="389"/>
      <c r="F320" s="11">
        <v>152534</v>
      </c>
      <c r="G320" s="71">
        <f>0+'[1]táj.2'!G320</f>
        <v>0</v>
      </c>
      <c r="H320" s="71">
        <f>0+'[1]táj.2'!H320</f>
        <v>0</v>
      </c>
      <c r="I320" s="71">
        <f>400+'[1]táj.2'!I320</f>
        <v>400</v>
      </c>
      <c r="J320" s="71">
        <f>0+'[1]táj.2'!J320</f>
        <v>0</v>
      </c>
      <c r="K320" s="71">
        <f>0+'[1]táj.2'!K320</f>
        <v>0</v>
      </c>
      <c r="L320" s="71">
        <f>2500+'[1]táj.2'!L320</f>
        <v>204</v>
      </c>
      <c r="M320" s="71">
        <f>0+'[1]táj.2'!M320</f>
        <v>0</v>
      </c>
      <c r="N320" s="71">
        <f>0+'[1]táj.2'!N320</f>
        <v>0</v>
      </c>
      <c r="O320" s="71">
        <f>0+'[1]táj.2'!O320</f>
        <v>0</v>
      </c>
      <c r="P320" s="71">
        <f>0+'[1]táj.2'!P320</f>
        <v>0</v>
      </c>
      <c r="Q320" s="11">
        <f t="shared" si="19"/>
        <v>604</v>
      </c>
    </row>
    <row r="321" spans="1:17" ht="15" customHeight="1">
      <c r="A321" s="70"/>
      <c r="B321" s="70"/>
      <c r="C321" s="127"/>
      <c r="D321" s="95" t="s">
        <v>815</v>
      </c>
      <c r="E321" s="388"/>
      <c r="F321" s="143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11"/>
    </row>
    <row r="322" spans="1:17" ht="24.75" customHeight="1">
      <c r="A322" s="70"/>
      <c r="B322" s="70"/>
      <c r="C322" s="127"/>
      <c r="D322" s="95" t="s">
        <v>672</v>
      </c>
      <c r="E322" s="409">
        <v>2</v>
      </c>
      <c r="F322" s="29">
        <v>151910</v>
      </c>
      <c r="G322" s="71">
        <f>0+'[1]táj.2'!G322</f>
        <v>0</v>
      </c>
      <c r="H322" s="71">
        <f>0+'[1]táj.2'!H322</f>
        <v>0</v>
      </c>
      <c r="I322" s="71">
        <f>147828+'[1]táj.2'!I322</f>
        <v>147828</v>
      </c>
      <c r="J322" s="71">
        <f>0+'[1]táj.2'!J322</f>
        <v>0</v>
      </c>
      <c r="K322" s="71">
        <f>0+'[1]táj.2'!K322</f>
        <v>0</v>
      </c>
      <c r="L322" s="71">
        <f>0+'[1]táj.2'!L322</f>
        <v>0</v>
      </c>
      <c r="M322" s="71">
        <f>0+'[1]táj.2'!M322</f>
        <v>0</v>
      </c>
      <c r="N322" s="71">
        <f>0+'[1]táj.2'!N322</f>
        <v>0</v>
      </c>
      <c r="O322" s="71">
        <f>0+'[1]táj.2'!O322</f>
        <v>0</v>
      </c>
      <c r="P322" s="71">
        <f>0+'[1]táj.2'!P322</f>
        <v>0</v>
      </c>
      <c r="Q322" s="11">
        <f>SUM(G322:P322)</f>
        <v>147828</v>
      </c>
    </row>
    <row r="323" spans="1:17" ht="21.75" customHeight="1">
      <c r="A323" s="70"/>
      <c r="B323" s="70"/>
      <c r="C323" s="127"/>
      <c r="D323" s="95" t="s">
        <v>410</v>
      </c>
      <c r="E323" s="409"/>
      <c r="F323" s="143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11"/>
    </row>
    <row r="324" spans="1:17" ht="24.75" customHeight="1">
      <c r="A324" s="70"/>
      <c r="B324" s="70"/>
      <c r="C324" s="127"/>
      <c r="D324" s="95" t="s">
        <v>1162</v>
      </c>
      <c r="E324" s="409">
        <v>1</v>
      </c>
      <c r="F324" s="29">
        <v>152915</v>
      </c>
      <c r="G324" s="71">
        <f>0+'[1]táj.2'!G324</f>
        <v>0</v>
      </c>
      <c r="H324" s="71">
        <f>0+'[1]táj.2'!H324</f>
        <v>0</v>
      </c>
      <c r="I324" s="71">
        <f>13891+'[1]táj.2'!I324</f>
        <v>13891</v>
      </c>
      <c r="J324" s="71">
        <f>0+'[1]táj.2'!J324</f>
        <v>0</v>
      </c>
      <c r="K324" s="71">
        <f>0+'[1]táj.2'!K324</f>
        <v>0</v>
      </c>
      <c r="L324" s="71">
        <f>0+'[1]táj.2'!L324</f>
        <v>0</v>
      </c>
      <c r="M324" s="71">
        <f>0+'[1]táj.2'!M324</f>
        <v>0</v>
      </c>
      <c r="N324" s="71">
        <f>0+'[1]táj.2'!N324</f>
        <v>0</v>
      </c>
      <c r="O324" s="71">
        <f>0+'[1]táj.2'!O324</f>
        <v>0</v>
      </c>
      <c r="P324" s="71">
        <f>0+'[1]táj.2'!P324</f>
        <v>0</v>
      </c>
      <c r="Q324" s="11">
        <f>SUM(G324:P324)</f>
        <v>13891</v>
      </c>
    </row>
    <row r="325" spans="1:17" ht="13.5" customHeight="1">
      <c r="A325" s="70"/>
      <c r="B325" s="70"/>
      <c r="C325" s="127"/>
      <c r="D325" s="262" t="s">
        <v>792</v>
      </c>
      <c r="E325" s="389"/>
      <c r="F325" s="142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11"/>
    </row>
    <row r="326" spans="1:17" ht="13.5" customHeight="1">
      <c r="A326" s="70"/>
      <c r="B326" s="70"/>
      <c r="C326" s="127"/>
      <c r="D326" s="262" t="s">
        <v>186</v>
      </c>
      <c r="E326" s="10">
        <v>1</v>
      </c>
      <c r="F326" s="11">
        <v>151704</v>
      </c>
      <c r="G326" s="71">
        <f>0+'[1]táj.2'!G326</f>
        <v>0</v>
      </c>
      <c r="H326" s="71">
        <f>0+'[1]táj.2'!H326</f>
        <v>0</v>
      </c>
      <c r="I326" s="71">
        <f>0+'[1]táj.2'!I326</f>
        <v>0</v>
      </c>
      <c r="J326" s="71">
        <f>0+'[1]táj.2'!J326</f>
        <v>0</v>
      </c>
      <c r="K326" s="71">
        <f>250+'[1]táj.2'!K326</f>
        <v>250</v>
      </c>
      <c r="L326" s="71">
        <f>0+'[1]táj.2'!L326</f>
        <v>0</v>
      </c>
      <c r="M326" s="71">
        <f>0+'[1]táj.2'!M326</f>
        <v>0</v>
      </c>
      <c r="N326" s="71">
        <f>0+'[1]táj.2'!N326</f>
        <v>0</v>
      </c>
      <c r="O326" s="71">
        <f>0+'[1]táj.2'!O326</f>
        <v>0</v>
      </c>
      <c r="P326" s="71">
        <f>0+'[1]táj.2'!P326</f>
        <v>0</v>
      </c>
      <c r="Q326" s="11">
        <f>SUM(G326:P326)</f>
        <v>250</v>
      </c>
    </row>
    <row r="327" spans="1:17" ht="12.75" customHeight="1">
      <c r="A327" s="65"/>
      <c r="B327" s="65"/>
      <c r="C327" s="126"/>
      <c r="D327" s="268" t="s">
        <v>645</v>
      </c>
      <c r="E327" s="385"/>
      <c r="F327" s="69"/>
      <c r="G327" s="67">
        <f aca="true" t="shared" si="20" ref="G327:Q327">SUM(G229:G326)</f>
        <v>7060</v>
      </c>
      <c r="H327" s="69">
        <f t="shared" si="20"/>
        <v>1262</v>
      </c>
      <c r="I327" s="69">
        <f t="shared" si="20"/>
        <v>1449662</v>
      </c>
      <c r="J327" s="69">
        <f t="shared" si="20"/>
        <v>0</v>
      </c>
      <c r="K327" s="69">
        <f t="shared" si="20"/>
        <v>386384</v>
      </c>
      <c r="L327" s="69">
        <f t="shared" si="20"/>
        <v>5813</v>
      </c>
      <c r="M327" s="69">
        <f t="shared" si="20"/>
        <v>0</v>
      </c>
      <c r="N327" s="69">
        <f t="shared" si="20"/>
        <v>0</v>
      </c>
      <c r="O327" s="69">
        <f t="shared" si="20"/>
        <v>0</v>
      </c>
      <c r="P327" s="69">
        <f t="shared" si="20"/>
        <v>0</v>
      </c>
      <c r="Q327" s="69">
        <f t="shared" si="20"/>
        <v>1850181</v>
      </c>
    </row>
    <row r="328" spans="1:17" ht="12.75" customHeight="1">
      <c r="A328" s="74"/>
      <c r="B328" s="74"/>
      <c r="C328" s="74"/>
      <c r="D328" s="278" t="s">
        <v>938</v>
      </c>
      <c r="E328" s="386"/>
      <c r="F328" s="12"/>
      <c r="G328" s="13"/>
      <c r="H328" s="12"/>
      <c r="I328" s="12"/>
      <c r="J328" s="12"/>
      <c r="K328" s="12"/>
      <c r="L328" s="12"/>
      <c r="M328" s="12"/>
      <c r="N328" s="12"/>
      <c r="O328" s="12"/>
      <c r="P328" s="12"/>
      <c r="Q328" s="12"/>
    </row>
    <row r="329" spans="1:17" ht="12.75" customHeight="1">
      <c r="A329" s="74"/>
      <c r="B329" s="74"/>
      <c r="C329" s="715" t="s">
        <v>577</v>
      </c>
      <c r="D329" s="716" t="s">
        <v>858</v>
      </c>
      <c r="E329" s="386"/>
      <c r="F329" s="12"/>
      <c r="G329" s="13"/>
      <c r="H329" s="12"/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1:17" ht="12.75" customHeight="1">
      <c r="A330" s="74"/>
      <c r="B330" s="74"/>
      <c r="C330" s="70" t="s">
        <v>597</v>
      </c>
      <c r="D330" s="629" t="s">
        <v>1463</v>
      </c>
      <c r="F330" s="11">
        <v>154103</v>
      </c>
      <c r="G330" s="71">
        <f>0+'[1]táj.2'!G330</f>
        <v>0</v>
      </c>
      <c r="H330" s="71">
        <f>0+'[1]táj.2'!H330</f>
        <v>0</v>
      </c>
      <c r="I330" s="71">
        <f>0+'[1]táj.2'!I330</f>
        <v>0</v>
      </c>
      <c r="J330" s="71">
        <f>0+'[1]táj.2'!J330</f>
        <v>0</v>
      </c>
      <c r="K330" s="71">
        <f>0+'[1]táj.2'!K330</f>
        <v>0</v>
      </c>
      <c r="L330" s="71">
        <f>0+'[1]táj.2'!L330</f>
        <v>0</v>
      </c>
      <c r="M330" s="71">
        <f>2000+'[1]táj.2'!M330</f>
        <v>2000</v>
      </c>
      <c r="N330" s="71">
        <f>0+'[1]táj.2'!N330</f>
        <v>0</v>
      </c>
      <c r="O330" s="71">
        <f>0+'[1]táj.2'!O330</f>
        <v>0</v>
      </c>
      <c r="P330" s="71">
        <f>0+'[1]táj.2'!P330</f>
        <v>0</v>
      </c>
      <c r="Q330" s="11">
        <f>SUM(G330:P330)</f>
        <v>2000</v>
      </c>
    </row>
    <row r="331" spans="1:17" ht="12.75" customHeight="1">
      <c r="A331" s="74"/>
      <c r="B331" s="74"/>
      <c r="C331" s="70" t="s">
        <v>1465</v>
      </c>
      <c r="D331" s="629" t="s">
        <v>1459</v>
      </c>
      <c r="E331" s="386"/>
      <c r="F331" s="11">
        <v>154104</v>
      </c>
      <c r="G331" s="71">
        <f>0+'[1]táj.2'!G331</f>
        <v>0</v>
      </c>
      <c r="H331" s="71">
        <f>0+'[1]táj.2'!H331</f>
        <v>0</v>
      </c>
      <c r="I331" s="71">
        <f>0+'[1]táj.2'!I331</f>
        <v>0</v>
      </c>
      <c r="J331" s="71">
        <f>0+'[1]táj.2'!J331</f>
        <v>0</v>
      </c>
      <c r="K331" s="71">
        <f>0+'[1]táj.2'!K331</f>
        <v>0</v>
      </c>
      <c r="L331" s="71">
        <f>0+'[1]táj.2'!L331</f>
        <v>0</v>
      </c>
      <c r="M331" s="71">
        <f>6000+'[1]táj.2'!M331</f>
        <v>6000</v>
      </c>
      <c r="N331" s="71">
        <f>0+'[1]táj.2'!N331</f>
        <v>0</v>
      </c>
      <c r="O331" s="71">
        <f>0+'[1]táj.2'!O331</f>
        <v>0</v>
      </c>
      <c r="P331" s="71">
        <f>0+'[1]táj.2'!P331</f>
        <v>0</v>
      </c>
      <c r="Q331" s="11">
        <f>SUM(G331:P331)</f>
        <v>6000</v>
      </c>
    </row>
    <row r="332" spans="1:17" ht="12.75" customHeight="1">
      <c r="A332" s="74"/>
      <c r="B332" s="74"/>
      <c r="C332" s="70" t="s">
        <v>1466</v>
      </c>
      <c r="D332" s="629" t="s">
        <v>1464</v>
      </c>
      <c r="E332" s="386"/>
      <c r="F332" s="11">
        <v>154105</v>
      </c>
      <c r="G332" s="71">
        <f>0+'[1]táj.2'!G332</f>
        <v>0</v>
      </c>
      <c r="H332" s="71">
        <f>0+'[1]táj.2'!H332</f>
        <v>0</v>
      </c>
      <c r="I332" s="71">
        <f>0+'[1]táj.2'!I332</f>
        <v>0</v>
      </c>
      <c r="J332" s="71">
        <f>0+'[1]táj.2'!J332</f>
        <v>0</v>
      </c>
      <c r="K332" s="71">
        <f>0+'[1]táj.2'!K332</f>
        <v>0</v>
      </c>
      <c r="L332" s="71">
        <f>0+'[1]táj.2'!L332</f>
        <v>0</v>
      </c>
      <c r="M332" s="71">
        <f>500+'[1]táj.2'!M332</f>
        <v>686</v>
      </c>
      <c r="N332" s="71">
        <f>0+'[1]táj.2'!N332</f>
        <v>0</v>
      </c>
      <c r="O332" s="71">
        <f>0+'[1]táj.2'!O332</f>
        <v>0</v>
      </c>
      <c r="P332" s="71">
        <f>0+'[1]táj.2'!P332</f>
        <v>0</v>
      </c>
      <c r="Q332" s="11">
        <f>SUM(G332:P332)</f>
        <v>686</v>
      </c>
    </row>
    <row r="333" spans="1:17" ht="15" customHeight="1">
      <c r="A333" s="74"/>
      <c r="B333" s="74"/>
      <c r="C333" s="304"/>
      <c r="D333" s="717" t="s">
        <v>686</v>
      </c>
      <c r="E333" s="386"/>
      <c r="F333" s="12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11"/>
    </row>
    <row r="334" spans="1:17" ht="27" customHeight="1">
      <c r="A334" s="74"/>
      <c r="B334" s="715"/>
      <c r="C334" s="207" t="s">
        <v>388</v>
      </c>
      <c r="D334" s="718" t="s">
        <v>596</v>
      </c>
      <c r="E334" s="395"/>
      <c r="F334" s="11">
        <v>152122</v>
      </c>
      <c r="G334" s="71">
        <f>0+'[1]táj.2'!G334</f>
        <v>0</v>
      </c>
      <c r="H334" s="71">
        <f>0+'[1]táj.2'!H334</f>
        <v>0</v>
      </c>
      <c r="I334" s="71">
        <f>178+'[1]táj.2'!I334</f>
        <v>178</v>
      </c>
      <c r="J334" s="71">
        <f>0+'[1]táj.2'!J334</f>
        <v>0</v>
      </c>
      <c r="K334" s="71">
        <f>0+'[1]táj.2'!K334</f>
        <v>0</v>
      </c>
      <c r="L334" s="71">
        <f>0+'[1]táj.2'!L334</f>
        <v>0</v>
      </c>
      <c r="M334" s="71">
        <f>0+'[1]táj.2'!M334</f>
        <v>0</v>
      </c>
      <c r="N334" s="71">
        <f>0+'[1]táj.2'!N334</f>
        <v>0</v>
      </c>
      <c r="O334" s="71">
        <f>0+'[1]táj.2'!O334</f>
        <v>0</v>
      </c>
      <c r="P334" s="71">
        <f>0+'[1]táj.2'!P334</f>
        <v>0</v>
      </c>
      <c r="Q334" s="11">
        <f>SUM(G334:P334)</f>
        <v>178</v>
      </c>
    </row>
    <row r="335" spans="1:17" ht="15" customHeight="1">
      <c r="A335" s="74"/>
      <c r="B335" s="74"/>
      <c r="C335" s="207" t="s">
        <v>389</v>
      </c>
      <c r="D335" s="719" t="s">
        <v>126</v>
      </c>
      <c r="E335" s="250"/>
      <c r="F335" s="11">
        <v>152112</v>
      </c>
      <c r="G335" s="71">
        <f>0+'[1]táj.2'!G335</f>
        <v>0</v>
      </c>
      <c r="H335" s="71">
        <f>0+'[1]táj.2'!H335</f>
        <v>0</v>
      </c>
      <c r="I335" s="71">
        <f>0+'[1]táj.2'!I335</f>
        <v>0</v>
      </c>
      <c r="J335" s="71">
        <f>0+'[1]táj.2'!J335</f>
        <v>0</v>
      </c>
      <c r="K335" s="71">
        <f>0+'[1]táj.2'!K335</f>
        <v>0</v>
      </c>
      <c r="L335" s="71">
        <f>1108+'[1]táj.2'!L335</f>
        <v>1108</v>
      </c>
      <c r="M335" s="71">
        <f>0+'[1]táj.2'!M335</f>
        <v>0</v>
      </c>
      <c r="N335" s="71">
        <f>0+'[1]táj.2'!N335</f>
        <v>0</v>
      </c>
      <c r="O335" s="71">
        <f>0+'[1]táj.2'!O335</f>
        <v>0</v>
      </c>
      <c r="P335" s="71">
        <f>0+'[1]táj.2'!P335</f>
        <v>0</v>
      </c>
      <c r="Q335" s="11">
        <f>SUM(G335:P335)</f>
        <v>1108</v>
      </c>
    </row>
    <row r="336" spans="1:17" ht="24" customHeight="1">
      <c r="A336" s="74"/>
      <c r="B336" s="74"/>
      <c r="C336" s="207" t="s">
        <v>395</v>
      </c>
      <c r="D336" s="720" t="s">
        <v>875</v>
      </c>
      <c r="E336" s="386"/>
      <c r="F336" s="11">
        <v>154128</v>
      </c>
      <c r="G336" s="71">
        <f>0+'[1]táj.2'!G336</f>
        <v>0</v>
      </c>
      <c r="H336" s="71">
        <f>0+'[1]táj.2'!H336</f>
        <v>0</v>
      </c>
      <c r="I336" s="71">
        <f>523+'[1]táj.2'!I336</f>
        <v>523</v>
      </c>
      <c r="J336" s="71">
        <f>0+'[1]táj.2'!J336</f>
        <v>0</v>
      </c>
      <c r="K336" s="71">
        <f>0+'[1]táj.2'!K336</f>
        <v>0</v>
      </c>
      <c r="L336" s="71">
        <f>0+'[1]táj.2'!L336</f>
        <v>0</v>
      </c>
      <c r="M336" s="71">
        <f>16239+'[1]táj.2'!M336</f>
        <v>16239</v>
      </c>
      <c r="N336" s="71">
        <f>0+'[1]táj.2'!N336</f>
        <v>0</v>
      </c>
      <c r="O336" s="71">
        <f>0+'[1]táj.2'!O336</f>
        <v>0</v>
      </c>
      <c r="P336" s="71">
        <f>0+'[1]táj.2'!P336</f>
        <v>0</v>
      </c>
      <c r="Q336" s="11">
        <f>SUM(G336:P336)</f>
        <v>16762</v>
      </c>
    </row>
    <row r="337" spans="1:17" ht="15" customHeight="1">
      <c r="A337" s="74"/>
      <c r="B337" s="74"/>
      <c r="C337" s="208">
        <v>2</v>
      </c>
      <c r="D337" s="721" t="s">
        <v>1234</v>
      </c>
      <c r="E337" s="722"/>
      <c r="F337" s="12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11"/>
    </row>
    <row r="338" spans="1:17" ht="15" customHeight="1">
      <c r="A338" s="74"/>
      <c r="B338" s="74"/>
      <c r="C338" s="208"/>
      <c r="D338" s="133" t="s">
        <v>686</v>
      </c>
      <c r="E338" s="723"/>
      <c r="F338" s="12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11"/>
    </row>
    <row r="339" spans="1:17" ht="15" customHeight="1">
      <c r="A339" s="74"/>
      <c r="B339" s="74"/>
      <c r="C339" s="248" t="s">
        <v>149</v>
      </c>
      <c r="D339" s="262" t="s">
        <v>150</v>
      </c>
      <c r="E339" s="386"/>
      <c r="F339" s="11">
        <v>154536</v>
      </c>
      <c r="G339" s="71">
        <f>0+'[1]táj.2'!G339</f>
        <v>0</v>
      </c>
      <c r="H339" s="71">
        <f>0+'[1]táj.2'!H339</f>
        <v>0</v>
      </c>
      <c r="I339" s="71">
        <f>0+'[1]táj.2'!I339</f>
        <v>0</v>
      </c>
      <c r="J339" s="71">
        <f>0+'[1]táj.2'!J339</f>
        <v>0</v>
      </c>
      <c r="K339" s="71">
        <f>0+'[1]táj.2'!K339</f>
        <v>0</v>
      </c>
      <c r="L339" s="71">
        <f>63+'[1]táj.2'!L339</f>
        <v>63</v>
      </c>
      <c r="M339" s="71">
        <f>0+'[1]táj.2'!M339</f>
        <v>0</v>
      </c>
      <c r="N339" s="71">
        <f>0+'[1]táj.2'!N339</f>
        <v>0</v>
      </c>
      <c r="O339" s="71">
        <f>0+'[1]táj.2'!O339</f>
        <v>0</v>
      </c>
      <c r="P339" s="71">
        <f>0+'[1]táj.2'!P339</f>
        <v>0</v>
      </c>
      <c r="Q339" s="11">
        <f>SUM(G339:P339)</f>
        <v>63</v>
      </c>
    </row>
    <row r="340" spans="1:17" ht="15" customHeight="1">
      <c r="A340" s="74"/>
      <c r="B340" s="74"/>
      <c r="C340" s="208" t="s">
        <v>578</v>
      </c>
      <c r="D340" s="724" t="s">
        <v>1235</v>
      </c>
      <c r="E340" s="386"/>
      <c r="F340" s="12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11"/>
    </row>
    <row r="341" spans="1:17" ht="15" customHeight="1">
      <c r="A341" s="74"/>
      <c r="B341" s="74"/>
      <c r="C341" s="210" t="s">
        <v>1080</v>
      </c>
      <c r="D341" s="629" t="s">
        <v>1283</v>
      </c>
      <c r="F341" s="11">
        <v>152302</v>
      </c>
      <c r="G341" s="71">
        <f>0+'[1]táj.2'!G341</f>
        <v>0</v>
      </c>
      <c r="H341" s="71">
        <f>0+'[1]táj.2'!H341</f>
        <v>0</v>
      </c>
      <c r="I341" s="71">
        <f>0+'[1]táj.2'!I341</f>
        <v>0</v>
      </c>
      <c r="J341" s="71">
        <f>0+'[1]táj.2'!J341</f>
        <v>0</v>
      </c>
      <c r="K341" s="71">
        <f>0+'[1]táj.2'!K341</f>
        <v>0</v>
      </c>
      <c r="L341" s="71">
        <f>400+'[1]táj.2'!L341</f>
        <v>400</v>
      </c>
      <c r="M341" s="71">
        <f>0+'[1]táj.2'!M341</f>
        <v>0</v>
      </c>
      <c r="N341" s="71">
        <f>0+'[1]táj.2'!N341</f>
        <v>0</v>
      </c>
      <c r="O341" s="71">
        <f>0+'[1]táj.2'!O341</f>
        <v>0</v>
      </c>
      <c r="P341" s="71">
        <f>0+'[1]táj.2'!P341</f>
        <v>0</v>
      </c>
      <c r="Q341" s="11">
        <f aca="true" t="shared" si="21" ref="Q341:Q347">SUM(G341:P341)</f>
        <v>400</v>
      </c>
    </row>
    <row r="342" spans="1:17" ht="15" customHeight="1">
      <c r="A342" s="74"/>
      <c r="B342" s="74"/>
      <c r="C342" s="210" t="s">
        <v>1081</v>
      </c>
      <c r="D342" s="629" t="s">
        <v>1326</v>
      </c>
      <c r="E342" s="386"/>
      <c r="F342" s="11">
        <v>152303</v>
      </c>
      <c r="G342" s="71">
        <f>0+'[1]táj.2'!G342</f>
        <v>0</v>
      </c>
      <c r="H342" s="71">
        <f>0+'[1]táj.2'!H342</f>
        <v>0</v>
      </c>
      <c r="I342" s="71">
        <f>0+'[1]táj.2'!I342</f>
        <v>0</v>
      </c>
      <c r="J342" s="71">
        <f>0+'[1]táj.2'!J342</f>
        <v>0</v>
      </c>
      <c r="K342" s="71">
        <f>0+'[1]táj.2'!K342</f>
        <v>0</v>
      </c>
      <c r="L342" s="71">
        <f>250+'[1]táj.2'!L342</f>
        <v>250</v>
      </c>
      <c r="M342" s="71">
        <f>0+'[1]táj.2'!M342</f>
        <v>0</v>
      </c>
      <c r="N342" s="71">
        <f>0+'[1]táj.2'!N342</f>
        <v>0</v>
      </c>
      <c r="O342" s="71">
        <f>0+'[1]táj.2'!O342</f>
        <v>0</v>
      </c>
      <c r="P342" s="71">
        <f>0+'[1]táj.2'!P342</f>
        <v>0</v>
      </c>
      <c r="Q342" s="11">
        <f t="shared" si="21"/>
        <v>250</v>
      </c>
    </row>
    <row r="343" spans="1:17" ht="26.25" customHeight="1">
      <c r="A343" s="74"/>
      <c r="B343" s="74"/>
      <c r="C343" s="210" t="s">
        <v>1118</v>
      </c>
      <c r="D343" s="629" t="s">
        <v>1327</v>
      </c>
      <c r="E343" s="386"/>
      <c r="F343" s="11">
        <v>152304</v>
      </c>
      <c r="G343" s="71">
        <f>0+'[1]táj.2'!G343</f>
        <v>0</v>
      </c>
      <c r="H343" s="71">
        <f>0+'[1]táj.2'!H343</f>
        <v>0</v>
      </c>
      <c r="I343" s="71">
        <f>0+'[1]táj.2'!I343</f>
        <v>0</v>
      </c>
      <c r="J343" s="71">
        <f>0+'[1]táj.2'!J343</f>
        <v>0</v>
      </c>
      <c r="K343" s="71">
        <f>0+'[1]táj.2'!K343</f>
        <v>0</v>
      </c>
      <c r="L343" s="71">
        <f>1240+'[1]táj.2'!L343</f>
        <v>1240</v>
      </c>
      <c r="M343" s="71">
        <f>0+'[1]táj.2'!M343</f>
        <v>0</v>
      </c>
      <c r="N343" s="71">
        <f>0+'[1]táj.2'!N343</f>
        <v>0</v>
      </c>
      <c r="O343" s="71">
        <f>0+'[1]táj.2'!O343</f>
        <v>0</v>
      </c>
      <c r="P343" s="71">
        <f>0+'[1]táj.2'!P343</f>
        <v>0</v>
      </c>
      <c r="Q343" s="11">
        <f t="shared" si="21"/>
        <v>1240</v>
      </c>
    </row>
    <row r="344" spans="1:17" ht="15" customHeight="1">
      <c r="A344" s="74"/>
      <c r="B344" s="74"/>
      <c r="C344" s="210" t="s">
        <v>822</v>
      </c>
      <c r="D344" s="629" t="s">
        <v>1328</v>
      </c>
      <c r="E344" s="725"/>
      <c r="F344" s="11">
        <v>152305</v>
      </c>
      <c r="G344" s="71">
        <f>0+'[1]táj.2'!G344</f>
        <v>0</v>
      </c>
      <c r="H344" s="71">
        <f>0+'[1]táj.2'!H344</f>
        <v>0</v>
      </c>
      <c r="I344" s="71">
        <f>0+'[1]táj.2'!I344</f>
        <v>0</v>
      </c>
      <c r="J344" s="71">
        <f>0+'[1]táj.2'!J344</f>
        <v>0</v>
      </c>
      <c r="K344" s="71">
        <f>0+'[1]táj.2'!K344</f>
        <v>0</v>
      </c>
      <c r="L344" s="71">
        <f>250+'[1]táj.2'!L344</f>
        <v>250</v>
      </c>
      <c r="M344" s="71">
        <f>0+'[1]táj.2'!M344</f>
        <v>0</v>
      </c>
      <c r="N344" s="71">
        <f>0+'[1]táj.2'!N344</f>
        <v>0</v>
      </c>
      <c r="O344" s="71">
        <f>0+'[1]táj.2'!O344</f>
        <v>0</v>
      </c>
      <c r="P344" s="71">
        <f>0+'[1]táj.2'!P344</f>
        <v>0</v>
      </c>
      <c r="Q344" s="11">
        <f t="shared" si="21"/>
        <v>250</v>
      </c>
    </row>
    <row r="345" spans="1:17" ht="15" customHeight="1">
      <c r="A345" s="74"/>
      <c r="B345" s="74"/>
      <c r="C345" s="210" t="s">
        <v>824</v>
      </c>
      <c r="D345" s="629" t="s">
        <v>1458</v>
      </c>
      <c r="E345" s="725"/>
      <c r="F345" s="11">
        <v>152306</v>
      </c>
      <c r="G345" s="71">
        <f>0+'[1]táj.2'!G345</f>
        <v>0</v>
      </c>
      <c r="H345" s="71">
        <f>0+'[1]táj.2'!H345</f>
        <v>0</v>
      </c>
      <c r="I345" s="71">
        <f>0+'[1]táj.2'!I345</f>
        <v>0</v>
      </c>
      <c r="J345" s="71">
        <f>0+'[1]táj.2'!J345</f>
        <v>0</v>
      </c>
      <c r="K345" s="71">
        <f>0+'[1]táj.2'!K345</f>
        <v>0</v>
      </c>
      <c r="L345" s="71">
        <f>2000+'[1]táj.2'!L345</f>
        <v>2000</v>
      </c>
      <c r="M345" s="71">
        <f>0+'[1]táj.2'!M345</f>
        <v>0</v>
      </c>
      <c r="N345" s="71">
        <f>0+'[1]táj.2'!N345</f>
        <v>0</v>
      </c>
      <c r="O345" s="71">
        <f>0+'[1]táj.2'!O345</f>
        <v>0</v>
      </c>
      <c r="P345" s="71">
        <f>0+'[1]táj.2'!P345</f>
        <v>0</v>
      </c>
      <c r="Q345" s="11">
        <f t="shared" si="21"/>
        <v>2000</v>
      </c>
    </row>
    <row r="346" spans="1:17" ht="27" customHeight="1">
      <c r="A346" s="74"/>
      <c r="B346" s="74"/>
      <c r="C346" s="210" t="s">
        <v>9</v>
      </c>
      <c r="D346" s="629" t="s">
        <v>1470</v>
      </c>
      <c r="F346" s="11">
        <v>152307</v>
      </c>
      <c r="G346" s="71">
        <f>0+'[1]táj.2'!G346</f>
        <v>0</v>
      </c>
      <c r="H346" s="71">
        <f>0+'[1]táj.2'!H346</f>
        <v>0</v>
      </c>
      <c r="I346" s="71">
        <f>0+'[1]táj.2'!I346</f>
        <v>0</v>
      </c>
      <c r="J346" s="71">
        <f>0+'[1]táj.2'!J346</f>
        <v>0</v>
      </c>
      <c r="K346" s="71">
        <f>0+'[1]táj.2'!K346</f>
        <v>0</v>
      </c>
      <c r="L346" s="71">
        <f>1313+'[1]táj.2'!L346</f>
        <v>1313</v>
      </c>
      <c r="M346" s="71">
        <f>0+'[1]táj.2'!M346</f>
        <v>0</v>
      </c>
      <c r="N346" s="71">
        <f>0+'[1]táj.2'!N346</f>
        <v>0</v>
      </c>
      <c r="O346" s="71">
        <f>0+'[1]táj.2'!O346</f>
        <v>0</v>
      </c>
      <c r="P346" s="71">
        <f>0+'[1]táj.2'!P346</f>
        <v>0</v>
      </c>
      <c r="Q346" s="11">
        <f t="shared" si="21"/>
        <v>1313</v>
      </c>
    </row>
    <row r="347" spans="1:17" ht="28.5" customHeight="1">
      <c r="A347" s="74"/>
      <c r="B347" s="74"/>
      <c r="C347" s="210" t="s">
        <v>1491</v>
      </c>
      <c r="D347" s="629" t="s">
        <v>1490</v>
      </c>
      <c r="F347" s="11">
        <v>152308</v>
      </c>
      <c r="G347" s="71">
        <f>0+'[1]táj.2'!G347</f>
        <v>0</v>
      </c>
      <c r="H347" s="71">
        <f>0+'[1]táj.2'!H347</f>
        <v>0</v>
      </c>
      <c r="I347" s="71">
        <f>0+'[1]táj.2'!I347</f>
        <v>0</v>
      </c>
      <c r="J347" s="71">
        <f>0+'[1]táj.2'!J347</f>
        <v>0</v>
      </c>
      <c r="K347" s="71">
        <f>0+'[1]táj.2'!K347</f>
        <v>0</v>
      </c>
      <c r="L347" s="71">
        <f>800+'[1]táj.2'!L347</f>
        <v>800</v>
      </c>
      <c r="M347" s="71">
        <f>0+'[1]táj.2'!M347</f>
        <v>0</v>
      </c>
      <c r="N347" s="71">
        <f>0+'[1]táj.2'!N347</f>
        <v>0</v>
      </c>
      <c r="O347" s="71">
        <f>0+'[1]táj.2'!O347</f>
        <v>0</v>
      </c>
      <c r="P347" s="71">
        <f>0+'[1]táj.2'!P347</f>
        <v>0</v>
      </c>
      <c r="Q347" s="11">
        <f t="shared" si="21"/>
        <v>800</v>
      </c>
    </row>
    <row r="348" spans="1:17" ht="15" customHeight="1">
      <c r="A348" s="74"/>
      <c r="B348" s="74"/>
      <c r="C348" s="209"/>
      <c r="D348" s="133" t="s">
        <v>686</v>
      </c>
      <c r="E348" s="386"/>
      <c r="F348" s="1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11"/>
    </row>
    <row r="349" spans="1:17" ht="15" customHeight="1">
      <c r="A349" s="74"/>
      <c r="B349" s="74"/>
      <c r="C349" s="216" t="s">
        <v>433</v>
      </c>
      <c r="D349" s="726" t="s">
        <v>1029</v>
      </c>
      <c r="E349" s="386"/>
      <c r="F349" s="11">
        <v>152301</v>
      </c>
      <c r="G349" s="71">
        <f>0+'[1]táj.2'!G349</f>
        <v>0</v>
      </c>
      <c r="H349" s="71">
        <f>0+'[1]táj.2'!H349</f>
        <v>0</v>
      </c>
      <c r="I349" s="71">
        <f>0+'[1]táj.2'!I349</f>
        <v>0</v>
      </c>
      <c r="J349" s="71">
        <f>0+'[1]táj.2'!J349</f>
        <v>0</v>
      </c>
      <c r="K349" s="71">
        <f>0+'[1]táj.2'!K349</f>
        <v>0</v>
      </c>
      <c r="L349" s="71">
        <f>8677+'[1]táj.2'!L349</f>
        <v>8677</v>
      </c>
      <c r="M349" s="71">
        <f>0+'[1]táj.2'!M349</f>
        <v>0</v>
      </c>
      <c r="N349" s="71">
        <f>0+'[1]táj.2'!N349</f>
        <v>0</v>
      </c>
      <c r="O349" s="71">
        <f>0+'[1]táj.2'!O349</f>
        <v>0</v>
      </c>
      <c r="P349" s="71">
        <f>0+'[1]táj.2'!P349</f>
        <v>0</v>
      </c>
      <c r="Q349" s="11">
        <f>SUM(G349:P349)</f>
        <v>8677</v>
      </c>
    </row>
    <row r="350" spans="1:17" ht="15" customHeight="1">
      <c r="A350" s="74"/>
      <c r="B350" s="74"/>
      <c r="C350" s="209" t="s">
        <v>579</v>
      </c>
      <c r="D350" s="727" t="s">
        <v>1023</v>
      </c>
      <c r="E350" s="382"/>
      <c r="F350" s="1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11"/>
    </row>
    <row r="351" spans="1:17" ht="15" customHeight="1">
      <c r="A351" s="74"/>
      <c r="B351" s="74"/>
      <c r="C351" s="210" t="s">
        <v>328</v>
      </c>
      <c r="D351" s="629" t="s">
        <v>1278</v>
      </c>
      <c r="F351" s="11">
        <v>154404</v>
      </c>
      <c r="G351" s="71">
        <f>0+'[1]táj.2'!G351</f>
        <v>0</v>
      </c>
      <c r="H351" s="71">
        <f>0+'[1]táj.2'!H351</f>
        <v>0</v>
      </c>
      <c r="I351" s="71">
        <f>0+'[1]táj.2'!I351</f>
        <v>0</v>
      </c>
      <c r="J351" s="71">
        <f>0+'[1]táj.2'!J351</f>
        <v>0</v>
      </c>
      <c r="K351" s="71">
        <f>0+'[1]táj.2'!K351</f>
        <v>0</v>
      </c>
      <c r="L351" s="71">
        <f>0+'[1]táj.2'!L351</f>
        <v>0</v>
      </c>
      <c r="M351" s="71">
        <f>700+'[1]táj.2'!M351</f>
        <v>700</v>
      </c>
      <c r="N351" s="71">
        <f>0+'[1]táj.2'!N351</f>
        <v>0</v>
      </c>
      <c r="O351" s="71">
        <f>0+'[1]táj.2'!O351</f>
        <v>0</v>
      </c>
      <c r="P351" s="71">
        <f>0+'[1]táj.2'!P351</f>
        <v>0</v>
      </c>
      <c r="Q351" s="11">
        <f aca="true" t="shared" si="22" ref="Q351:Q382">SUM(G351:P351)</f>
        <v>700</v>
      </c>
    </row>
    <row r="352" spans="1:17" ht="15" customHeight="1">
      <c r="A352" s="74"/>
      <c r="B352" s="74"/>
      <c r="C352" s="210" t="s">
        <v>1082</v>
      </c>
      <c r="D352" s="629" t="s">
        <v>1279</v>
      </c>
      <c r="E352" s="382"/>
      <c r="F352" s="11">
        <v>154460</v>
      </c>
      <c r="G352" s="71">
        <f>0+'[1]táj.2'!G352</f>
        <v>0</v>
      </c>
      <c r="H352" s="71">
        <f>0+'[1]táj.2'!H352</f>
        <v>0</v>
      </c>
      <c r="I352" s="71">
        <f>0+'[1]táj.2'!I352</f>
        <v>0</v>
      </c>
      <c r="J352" s="71">
        <f>0+'[1]táj.2'!J352</f>
        <v>0</v>
      </c>
      <c r="K352" s="71">
        <f>0+'[1]táj.2'!K352</f>
        <v>0</v>
      </c>
      <c r="L352" s="71">
        <f>0+'[1]táj.2'!L352</f>
        <v>0</v>
      </c>
      <c r="M352" s="71">
        <f>2500+'[1]táj.2'!M352</f>
        <v>2500</v>
      </c>
      <c r="N352" s="71">
        <f>0+'[1]táj.2'!N352</f>
        <v>0</v>
      </c>
      <c r="O352" s="71">
        <f>0+'[1]táj.2'!O352</f>
        <v>0</v>
      </c>
      <c r="P352" s="71">
        <f>0+'[1]táj.2'!P352</f>
        <v>0</v>
      </c>
      <c r="Q352" s="11">
        <f t="shared" si="22"/>
        <v>2500</v>
      </c>
    </row>
    <row r="353" spans="1:17" ht="15" customHeight="1">
      <c r="A353" s="74"/>
      <c r="B353" s="74"/>
      <c r="C353" s="210" t="s">
        <v>1085</v>
      </c>
      <c r="D353" s="629" t="s">
        <v>1280</v>
      </c>
      <c r="E353" s="382"/>
      <c r="F353" s="11">
        <v>154461</v>
      </c>
      <c r="G353" s="71">
        <f>0+'[1]táj.2'!G353</f>
        <v>0</v>
      </c>
      <c r="H353" s="71">
        <f>0+'[1]táj.2'!H353</f>
        <v>0</v>
      </c>
      <c r="I353" s="71">
        <f>0+'[1]táj.2'!I353</f>
        <v>0</v>
      </c>
      <c r="J353" s="71">
        <f>0+'[1]táj.2'!J353</f>
        <v>0</v>
      </c>
      <c r="K353" s="71">
        <f>0+'[1]táj.2'!K353</f>
        <v>0</v>
      </c>
      <c r="L353" s="71">
        <f>0+'[1]táj.2'!L353</f>
        <v>0</v>
      </c>
      <c r="M353" s="71">
        <f>1000+'[1]táj.2'!M353</f>
        <v>1000</v>
      </c>
      <c r="N353" s="71">
        <f>0+'[1]táj.2'!N353</f>
        <v>0</v>
      </c>
      <c r="O353" s="71">
        <f>0+'[1]táj.2'!O353</f>
        <v>0</v>
      </c>
      <c r="P353" s="71">
        <f>0+'[1]táj.2'!P353</f>
        <v>0</v>
      </c>
      <c r="Q353" s="11">
        <f t="shared" si="22"/>
        <v>1000</v>
      </c>
    </row>
    <row r="354" spans="1:17" ht="30.75" customHeight="1">
      <c r="A354" s="74"/>
      <c r="B354" s="74"/>
      <c r="C354" s="210" t="s">
        <v>1086</v>
      </c>
      <c r="D354" s="629" t="s">
        <v>1290</v>
      </c>
      <c r="E354" s="382"/>
      <c r="F354" s="11">
        <v>152402</v>
      </c>
      <c r="G354" s="71">
        <f>0+'[1]táj.2'!G354</f>
        <v>0</v>
      </c>
      <c r="H354" s="71">
        <f>0+'[1]táj.2'!H354</f>
        <v>0</v>
      </c>
      <c r="I354" s="71">
        <f>0+'[1]táj.2'!I354</f>
        <v>0</v>
      </c>
      <c r="J354" s="71">
        <f>0+'[1]táj.2'!J354</f>
        <v>0</v>
      </c>
      <c r="K354" s="71">
        <f>0+'[1]táj.2'!K354</f>
        <v>0</v>
      </c>
      <c r="L354" s="71">
        <f>3000+'[1]táj.2'!L354</f>
        <v>3000</v>
      </c>
      <c r="M354" s="71">
        <f>0+'[1]táj.2'!M354</f>
        <v>0</v>
      </c>
      <c r="N354" s="71">
        <f>0+'[1]táj.2'!N354</f>
        <v>0</v>
      </c>
      <c r="O354" s="71">
        <f>0+'[1]táj.2'!O354</f>
        <v>0</v>
      </c>
      <c r="P354" s="71">
        <f>0+'[1]táj.2'!P354</f>
        <v>0</v>
      </c>
      <c r="Q354" s="11">
        <f t="shared" si="22"/>
        <v>3000</v>
      </c>
    </row>
    <row r="355" spans="1:17" ht="30.75" customHeight="1">
      <c r="A355" s="74"/>
      <c r="B355" s="74"/>
      <c r="C355" s="210" t="s">
        <v>1111</v>
      </c>
      <c r="D355" s="629" t="s">
        <v>1293</v>
      </c>
      <c r="F355" s="11">
        <v>154454</v>
      </c>
      <c r="G355" s="71">
        <f>0+'[1]táj.2'!G355</f>
        <v>0</v>
      </c>
      <c r="H355" s="71">
        <f>0+'[1]táj.2'!H355</f>
        <v>0</v>
      </c>
      <c r="I355" s="71">
        <f>0+'[1]táj.2'!I355</f>
        <v>0</v>
      </c>
      <c r="J355" s="71">
        <f>0+'[1]táj.2'!J355</f>
        <v>0</v>
      </c>
      <c r="K355" s="71">
        <f>0+'[1]táj.2'!K355</f>
        <v>0</v>
      </c>
      <c r="L355" s="71">
        <f>0+'[1]táj.2'!L355</f>
        <v>0</v>
      </c>
      <c r="M355" s="71">
        <f>6000+'[1]táj.2'!M355</f>
        <v>6000</v>
      </c>
      <c r="N355" s="71">
        <f>0+'[1]táj.2'!N355</f>
        <v>0</v>
      </c>
      <c r="O355" s="71">
        <f>0+'[1]táj.2'!O355</f>
        <v>0</v>
      </c>
      <c r="P355" s="71">
        <f>0+'[1]táj.2'!P355</f>
        <v>0</v>
      </c>
      <c r="Q355" s="11">
        <f t="shared" si="22"/>
        <v>6000</v>
      </c>
    </row>
    <row r="356" spans="1:17" ht="16.5" customHeight="1">
      <c r="A356" s="74"/>
      <c r="B356" s="74"/>
      <c r="C356" s="210" t="s">
        <v>1113</v>
      </c>
      <c r="D356" s="629" t="s">
        <v>1294</v>
      </c>
      <c r="E356" s="382"/>
      <c r="F356" s="11">
        <v>155420</v>
      </c>
      <c r="G356" s="71">
        <f>0+'[1]táj.2'!G356</f>
        <v>0</v>
      </c>
      <c r="H356" s="71">
        <f>0+'[1]táj.2'!H356</f>
        <v>0</v>
      </c>
      <c r="I356" s="71">
        <f>0+'[1]táj.2'!I356</f>
        <v>0</v>
      </c>
      <c r="J356" s="71">
        <f>0+'[1]táj.2'!J356</f>
        <v>0</v>
      </c>
      <c r="K356" s="71">
        <f>0+'[1]táj.2'!K356</f>
        <v>0</v>
      </c>
      <c r="L356" s="71">
        <f>0+'[1]táj.2'!L356</f>
        <v>0</v>
      </c>
      <c r="M356" s="71">
        <f>3556+'[1]táj.2'!M356</f>
        <v>3556</v>
      </c>
      <c r="N356" s="71">
        <f>0+'[1]táj.2'!N356</f>
        <v>0</v>
      </c>
      <c r="O356" s="71">
        <f>0+'[1]táj.2'!O356</f>
        <v>0</v>
      </c>
      <c r="P356" s="71">
        <f>0+'[1]táj.2'!P356</f>
        <v>0</v>
      </c>
      <c r="Q356" s="11">
        <f t="shared" si="22"/>
        <v>3556</v>
      </c>
    </row>
    <row r="357" spans="1:17" ht="27.75" customHeight="1">
      <c r="A357" s="74"/>
      <c r="B357" s="74"/>
      <c r="C357" s="210" t="s">
        <v>1114</v>
      </c>
      <c r="D357" s="629" t="s">
        <v>1298</v>
      </c>
      <c r="F357" s="728">
        <v>154462</v>
      </c>
      <c r="G357" s="71">
        <f>0+'[1]táj.2'!G357</f>
        <v>0</v>
      </c>
      <c r="H357" s="71">
        <f>0+'[1]táj.2'!H357</f>
        <v>0</v>
      </c>
      <c r="I357" s="71">
        <f>0+'[1]táj.2'!I357</f>
        <v>0</v>
      </c>
      <c r="J357" s="71">
        <f>0+'[1]táj.2'!J357</f>
        <v>0</v>
      </c>
      <c r="K357" s="71">
        <f>0+'[1]táj.2'!K357</f>
        <v>0</v>
      </c>
      <c r="L357" s="71">
        <f>0+'[1]táj.2'!L357</f>
        <v>0</v>
      </c>
      <c r="M357" s="71">
        <f>2000+'[1]táj.2'!M357</f>
        <v>2000</v>
      </c>
      <c r="N357" s="71">
        <f>0+'[1]táj.2'!N357</f>
        <v>0</v>
      </c>
      <c r="O357" s="71">
        <f>0+'[1]táj.2'!O357</f>
        <v>0</v>
      </c>
      <c r="P357" s="71">
        <f>0+'[1]táj.2'!P357</f>
        <v>0</v>
      </c>
      <c r="Q357" s="11">
        <f t="shared" si="22"/>
        <v>2000</v>
      </c>
    </row>
    <row r="358" spans="1:17" ht="18.75" customHeight="1">
      <c r="A358" s="74"/>
      <c r="B358" s="74"/>
      <c r="C358" s="210" t="s">
        <v>1115</v>
      </c>
      <c r="D358" s="629" t="s">
        <v>774</v>
      </c>
      <c r="E358" s="382"/>
      <c r="F358" s="11">
        <v>154463</v>
      </c>
      <c r="G358" s="71">
        <f>0+'[1]táj.2'!G358</f>
        <v>0</v>
      </c>
      <c r="H358" s="71">
        <f>0+'[1]táj.2'!H358</f>
        <v>0</v>
      </c>
      <c r="I358" s="71">
        <f>0+'[1]táj.2'!I358</f>
        <v>0</v>
      </c>
      <c r="J358" s="71">
        <f>0+'[1]táj.2'!J358</f>
        <v>0</v>
      </c>
      <c r="K358" s="71">
        <f>0+'[1]táj.2'!K358</f>
        <v>0</v>
      </c>
      <c r="L358" s="71">
        <f>0+'[1]táj.2'!L358</f>
        <v>0</v>
      </c>
      <c r="M358" s="71">
        <f>1500+'[1]táj.2'!M358</f>
        <v>1500</v>
      </c>
      <c r="N358" s="71">
        <f>0+'[1]táj.2'!N358</f>
        <v>0</v>
      </c>
      <c r="O358" s="71">
        <f>0+'[1]táj.2'!O358</f>
        <v>0</v>
      </c>
      <c r="P358" s="71">
        <f>0+'[1]táj.2'!P358</f>
        <v>0</v>
      </c>
      <c r="Q358" s="11">
        <f t="shared" si="22"/>
        <v>1500</v>
      </c>
    </row>
    <row r="359" spans="1:17" ht="18" customHeight="1">
      <c r="A359" s="74"/>
      <c r="B359" s="74"/>
      <c r="C359" s="210" t="s">
        <v>1119</v>
      </c>
      <c r="D359" s="629" t="s">
        <v>1300</v>
      </c>
      <c r="E359" s="382"/>
      <c r="F359" s="11">
        <v>154464</v>
      </c>
      <c r="G359" s="71">
        <f>0+'[1]táj.2'!G359</f>
        <v>0</v>
      </c>
      <c r="H359" s="71">
        <f>0+'[1]táj.2'!H359</f>
        <v>0</v>
      </c>
      <c r="I359" s="71">
        <f>200+'[1]táj.2'!I359</f>
        <v>200</v>
      </c>
      <c r="J359" s="71">
        <f>0+'[1]táj.2'!J359</f>
        <v>0</v>
      </c>
      <c r="K359" s="71">
        <f>0+'[1]táj.2'!K359</f>
        <v>0</v>
      </c>
      <c r="L359" s="71">
        <f>0+'[1]táj.2'!L359</f>
        <v>0</v>
      </c>
      <c r="M359" s="71">
        <f>800+'[1]táj.2'!M359</f>
        <v>800</v>
      </c>
      <c r="N359" s="71">
        <f>0+'[1]táj.2'!N359</f>
        <v>0</v>
      </c>
      <c r="O359" s="71">
        <f>0+'[1]táj.2'!O359</f>
        <v>0</v>
      </c>
      <c r="P359" s="71">
        <f>0+'[1]táj.2'!P359</f>
        <v>0</v>
      </c>
      <c r="Q359" s="11">
        <f t="shared" si="22"/>
        <v>1000</v>
      </c>
    </row>
    <row r="360" spans="1:17" ht="16.5" customHeight="1">
      <c r="A360" s="74"/>
      <c r="B360" s="74"/>
      <c r="C360" s="210" t="s">
        <v>1120</v>
      </c>
      <c r="D360" s="629" t="s">
        <v>1301</v>
      </c>
      <c r="F360" s="11">
        <v>154465</v>
      </c>
      <c r="G360" s="71">
        <f>0+'[1]táj.2'!G360</f>
        <v>0</v>
      </c>
      <c r="H360" s="71">
        <f>0+'[1]táj.2'!H360</f>
        <v>0</v>
      </c>
      <c r="I360" s="71">
        <f>0+'[1]táj.2'!I360</f>
        <v>0</v>
      </c>
      <c r="J360" s="71">
        <f>0+'[1]táj.2'!J360</f>
        <v>0</v>
      </c>
      <c r="K360" s="71">
        <f>0+'[1]táj.2'!K360</f>
        <v>0</v>
      </c>
      <c r="L360" s="71">
        <f>0+'[1]táj.2'!L360</f>
        <v>0</v>
      </c>
      <c r="M360" s="71">
        <f>2000+'[1]táj.2'!M360</f>
        <v>2000</v>
      </c>
      <c r="N360" s="71">
        <f>0+'[1]táj.2'!N360</f>
        <v>0</v>
      </c>
      <c r="O360" s="71">
        <f>0+'[1]táj.2'!O360</f>
        <v>0</v>
      </c>
      <c r="P360" s="71">
        <f>0+'[1]táj.2'!P360</f>
        <v>0</v>
      </c>
      <c r="Q360" s="11">
        <f t="shared" si="22"/>
        <v>2000</v>
      </c>
    </row>
    <row r="361" spans="1:17" ht="21.75" customHeight="1">
      <c r="A361" s="74"/>
      <c r="B361" s="74"/>
      <c r="C361" s="210" t="s">
        <v>1121</v>
      </c>
      <c r="D361" s="308" t="s">
        <v>1304</v>
      </c>
      <c r="F361" s="11">
        <v>154466</v>
      </c>
      <c r="G361" s="71">
        <f>0+'[1]táj.2'!G361</f>
        <v>0</v>
      </c>
      <c r="H361" s="71">
        <f>0+'[1]táj.2'!H361</f>
        <v>0</v>
      </c>
      <c r="I361" s="71">
        <f>0+'[1]táj.2'!I361</f>
        <v>0</v>
      </c>
      <c r="J361" s="71">
        <f>0+'[1]táj.2'!J361</f>
        <v>0</v>
      </c>
      <c r="K361" s="71">
        <f>0+'[1]táj.2'!K361</f>
        <v>0</v>
      </c>
      <c r="L361" s="71">
        <f>0+'[1]táj.2'!L361</f>
        <v>0</v>
      </c>
      <c r="M361" s="71">
        <f>2000+'[1]táj.2'!M361</f>
        <v>2000</v>
      </c>
      <c r="N361" s="71">
        <f>0+'[1]táj.2'!N361</f>
        <v>0</v>
      </c>
      <c r="O361" s="71">
        <f>0+'[1]táj.2'!O361</f>
        <v>0</v>
      </c>
      <c r="P361" s="71">
        <f>0+'[1]táj.2'!P361</f>
        <v>0</v>
      </c>
      <c r="Q361" s="11">
        <f t="shared" si="22"/>
        <v>2000</v>
      </c>
    </row>
    <row r="362" spans="1:17" ht="15.75" customHeight="1">
      <c r="A362" s="74"/>
      <c r="B362" s="74"/>
      <c r="C362" s="210" t="s">
        <v>1122</v>
      </c>
      <c r="D362" s="629" t="s">
        <v>1305</v>
      </c>
      <c r="E362" s="725"/>
      <c r="F362" s="11">
        <v>154467</v>
      </c>
      <c r="G362" s="71">
        <f>0+'[1]táj.2'!G362</f>
        <v>0</v>
      </c>
      <c r="H362" s="71">
        <f>0+'[1]táj.2'!H362</f>
        <v>0</v>
      </c>
      <c r="I362" s="71">
        <f>0+'[1]táj.2'!I362</f>
        <v>0</v>
      </c>
      <c r="J362" s="71">
        <f>0+'[1]táj.2'!J362</f>
        <v>0</v>
      </c>
      <c r="K362" s="71">
        <f>0+'[1]táj.2'!K362</f>
        <v>0</v>
      </c>
      <c r="L362" s="71">
        <f>0+'[1]táj.2'!L362</f>
        <v>0</v>
      </c>
      <c r="M362" s="71">
        <f>3667+'[1]táj.2'!M362</f>
        <v>3667</v>
      </c>
      <c r="N362" s="71">
        <f>0+'[1]táj.2'!N362</f>
        <v>0</v>
      </c>
      <c r="O362" s="71">
        <f>0+'[1]táj.2'!O362</f>
        <v>0</v>
      </c>
      <c r="P362" s="71">
        <f>0+'[1]táj.2'!P362</f>
        <v>0</v>
      </c>
      <c r="Q362" s="11">
        <f t="shared" si="22"/>
        <v>3667</v>
      </c>
    </row>
    <row r="363" spans="1:17" ht="15.75" customHeight="1">
      <c r="A363" s="74"/>
      <c r="B363" s="74"/>
      <c r="C363" s="210" t="s">
        <v>1123</v>
      </c>
      <c r="D363" s="629" t="s">
        <v>1309</v>
      </c>
      <c r="E363" s="725"/>
      <c r="F363" s="11">
        <v>154468</v>
      </c>
      <c r="G363" s="71">
        <f>0+'[1]táj.2'!G363</f>
        <v>0</v>
      </c>
      <c r="H363" s="71">
        <f>0+'[1]táj.2'!H363</f>
        <v>0</v>
      </c>
      <c r="I363" s="71">
        <f>0+'[1]táj.2'!I363</f>
        <v>0</v>
      </c>
      <c r="J363" s="71">
        <f>0+'[1]táj.2'!J363</f>
        <v>0</v>
      </c>
      <c r="K363" s="71">
        <f>0+'[1]táj.2'!K363</f>
        <v>0</v>
      </c>
      <c r="L363" s="71">
        <f>0+'[1]táj.2'!L363</f>
        <v>0</v>
      </c>
      <c r="M363" s="71">
        <f>5106+'[1]táj.2'!M363</f>
        <v>5106</v>
      </c>
      <c r="N363" s="71">
        <f>0+'[1]táj.2'!N363</f>
        <v>0</v>
      </c>
      <c r="O363" s="71">
        <f>0+'[1]táj.2'!O363</f>
        <v>0</v>
      </c>
      <c r="P363" s="71">
        <f>0+'[1]táj.2'!P363</f>
        <v>0</v>
      </c>
      <c r="Q363" s="11">
        <f t="shared" si="22"/>
        <v>5106</v>
      </c>
    </row>
    <row r="364" spans="1:17" ht="15.75" customHeight="1">
      <c r="A364" s="74"/>
      <c r="B364" s="74"/>
      <c r="C364" s="210" t="s">
        <v>1125</v>
      </c>
      <c r="D364" s="629" t="s">
        <v>1310</v>
      </c>
      <c r="F364" s="11">
        <v>154469</v>
      </c>
      <c r="G364" s="71">
        <f>0+'[1]táj.2'!G364</f>
        <v>0</v>
      </c>
      <c r="H364" s="71">
        <f>0+'[1]táj.2'!H364</f>
        <v>0</v>
      </c>
      <c r="I364" s="71">
        <f>0+'[1]táj.2'!I364</f>
        <v>0</v>
      </c>
      <c r="J364" s="71">
        <f>0+'[1]táj.2'!J364</f>
        <v>0</v>
      </c>
      <c r="K364" s="71">
        <f>0+'[1]táj.2'!K364</f>
        <v>0</v>
      </c>
      <c r="L364" s="71">
        <f>0+'[1]táj.2'!L364</f>
        <v>0</v>
      </c>
      <c r="M364" s="71">
        <f>3000+'[1]táj.2'!M364</f>
        <v>3000</v>
      </c>
      <c r="N364" s="71">
        <f>0+'[1]táj.2'!N364</f>
        <v>0</v>
      </c>
      <c r="O364" s="71">
        <f>0+'[1]táj.2'!O364</f>
        <v>0</v>
      </c>
      <c r="P364" s="71">
        <f>0+'[1]táj.2'!P364</f>
        <v>0</v>
      </c>
      <c r="Q364" s="11">
        <f t="shared" si="22"/>
        <v>3000</v>
      </c>
    </row>
    <row r="365" spans="1:17" ht="15.75" customHeight="1">
      <c r="A365" s="74"/>
      <c r="B365" s="74"/>
      <c r="C365" s="210" t="s">
        <v>1126</v>
      </c>
      <c r="D365" s="629" t="s">
        <v>1317</v>
      </c>
      <c r="F365" s="11">
        <v>152403</v>
      </c>
      <c r="G365" s="71">
        <f>0+'[1]táj.2'!G365</f>
        <v>0</v>
      </c>
      <c r="H365" s="71">
        <f>0+'[1]táj.2'!H365</f>
        <v>0</v>
      </c>
      <c r="I365" s="71">
        <f>0+'[1]táj.2'!I365</f>
        <v>0</v>
      </c>
      <c r="J365" s="71">
        <f>0+'[1]táj.2'!J365</f>
        <v>0</v>
      </c>
      <c r="K365" s="71">
        <f>0+'[1]táj.2'!K365</f>
        <v>0</v>
      </c>
      <c r="L365" s="71">
        <f>1500+'[1]táj.2'!L365</f>
        <v>1500</v>
      </c>
      <c r="M365" s="71">
        <f>0+'[1]táj.2'!M365</f>
        <v>0</v>
      </c>
      <c r="N365" s="71">
        <f>0+'[1]táj.2'!N365</f>
        <v>0</v>
      </c>
      <c r="O365" s="71">
        <f>0+'[1]táj.2'!O365</f>
        <v>0</v>
      </c>
      <c r="P365" s="71">
        <f>0+'[1]táj.2'!P365</f>
        <v>0</v>
      </c>
      <c r="Q365" s="11">
        <f t="shared" si="22"/>
        <v>1500</v>
      </c>
    </row>
    <row r="366" spans="1:17" ht="15.75" customHeight="1">
      <c r="A366" s="74"/>
      <c r="B366" s="74"/>
      <c r="C366" s="210" t="s">
        <v>1127</v>
      </c>
      <c r="D366" s="629" t="s">
        <v>1318</v>
      </c>
      <c r="E366" s="382"/>
      <c r="F366" s="11">
        <v>154470</v>
      </c>
      <c r="G366" s="71">
        <f>0+'[1]táj.2'!G366</f>
        <v>0</v>
      </c>
      <c r="H366" s="71">
        <f>0+'[1]táj.2'!H366</f>
        <v>0</v>
      </c>
      <c r="I366" s="71">
        <f>0+'[1]táj.2'!I366</f>
        <v>0</v>
      </c>
      <c r="J366" s="71">
        <f>0+'[1]táj.2'!J366</f>
        <v>0</v>
      </c>
      <c r="K366" s="71">
        <f>0+'[1]táj.2'!K366</f>
        <v>0</v>
      </c>
      <c r="L366" s="71">
        <f>0+'[1]táj.2'!L366</f>
        <v>0</v>
      </c>
      <c r="M366" s="71">
        <f>1300+'[1]táj.2'!M366</f>
        <v>1300</v>
      </c>
      <c r="N366" s="71">
        <f>0+'[1]táj.2'!N366</f>
        <v>0</v>
      </c>
      <c r="O366" s="71">
        <f>0+'[1]táj.2'!O366</f>
        <v>0</v>
      </c>
      <c r="P366" s="71">
        <f>0+'[1]táj.2'!P366</f>
        <v>0</v>
      </c>
      <c r="Q366" s="11">
        <f t="shared" si="22"/>
        <v>1300</v>
      </c>
    </row>
    <row r="367" spans="1:17" ht="17.25" customHeight="1">
      <c r="A367" s="74"/>
      <c r="B367" s="74"/>
      <c r="C367" s="210" t="s">
        <v>1128</v>
      </c>
      <c r="D367" s="629" t="s">
        <v>1319</v>
      </c>
      <c r="E367" s="382"/>
      <c r="F367" s="11">
        <v>154471</v>
      </c>
      <c r="G367" s="71">
        <f>0+'[1]táj.2'!G367</f>
        <v>0</v>
      </c>
      <c r="H367" s="71">
        <f>0+'[1]táj.2'!H367</f>
        <v>0</v>
      </c>
      <c r="I367" s="71">
        <f>0+'[1]táj.2'!I367</f>
        <v>0</v>
      </c>
      <c r="J367" s="71">
        <f>0+'[1]táj.2'!J367</f>
        <v>0</v>
      </c>
      <c r="K367" s="71">
        <f>0+'[1]táj.2'!K367</f>
        <v>0</v>
      </c>
      <c r="L367" s="71">
        <f>0+'[1]táj.2'!L367</f>
        <v>0</v>
      </c>
      <c r="M367" s="71">
        <f>1800+'[1]táj.2'!M367</f>
        <v>2689</v>
      </c>
      <c r="N367" s="71">
        <f>0+'[1]táj.2'!N367</f>
        <v>0</v>
      </c>
      <c r="O367" s="71">
        <f>0+'[1]táj.2'!O367</f>
        <v>0</v>
      </c>
      <c r="P367" s="71">
        <f>0+'[1]táj.2'!P367</f>
        <v>0</v>
      </c>
      <c r="Q367" s="11">
        <f t="shared" si="22"/>
        <v>2689</v>
      </c>
    </row>
    <row r="368" spans="1:17" ht="17.25" customHeight="1">
      <c r="A368" s="74"/>
      <c r="B368" s="74"/>
      <c r="C368" s="210" t="s">
        <v>1129</v>
      </c>
      <c r="D368" s="629" t="s">
        <v>1320</v>
      </c>
      <c r="E368" s="382"/>
      <c r="F368" s="11">
        <v>154472</v>
      </c>
      <c r="G368" s="71">
        <f>0+'[1]táj.2'!G368</f>
        <v>0</v>
      </c>
      <c r="H368" s="71">
        <f>0+'[1]táj.2'!H368</f>
        <v>0</v>
      </c>
      <c r="I368" s="71">
        <f>0+'[1]táj.2'!I368</f>
        <v>0</v>
      </c>
      <c r="J368" s="71">
        <f>0+'[1]táj.2'!J368</f>
        <v>0</v>
      </c>
      <c r="K368" s="71">
        <f>0+'[1]táj.2'!K368</f>
        <v>0</v>
      </c>
      <c r="L368" s="71">
        <f>0+'[1]táj.2'!L368</f>
        <v>0</v>
      </c>
      <c r="M368" s="71">
        <f>700+'[1]táj.2'!M368</f>
        <v>700</v>
      </c>
      <c r="N368" s="71">
        <f>0+'[1]táj.2'!N368</f>
        <v>0</v>
      </c>
      <c r="O368" s="71">
        <f>0+'[1]táj.2'!O368</f>
        <v>0</v>
      </c>
      <c r="P368" s="71">
        <f>0+'[1]táj.2'!P368</f>
        <v>0</v>
      </c>
      <c r="Q368" s="11">
        <f t="shared" si="22"/>
        <v>700</v>
      </c>
    </row>
    <row r="369" spans="1:17" ht="27.75" customHeight="1">
      <c r="A369" s="74"/>
      <c r="B369" s="74"/>
      <c r="C369" s="210" t="s">
        <v>1314</v>
      </c>
      <c r="D369" s="629" t="s">
        <v>1519</v>
      </c>
      <c r="E369" s="382"/>
      <c r="F369" s="11">
        <v>154473</v>
      </c>
      <c r="G369" s="71">
        <f>0+'[1]táj.2'!G369</f>
        <v>0</v>
      </c>
      <c r="H369" s="71">
        <f>0+'[1]táj.2'!H369</f>
        <v>0</v>
      </c>
      <c r="I369" s="71">
        <f>0+'[1]táj.2'!I369</f>
        <v>0</v>
      </c>
      <c r="J369" s="71">
        <f>0+'[1]táj.2'!J369</f>
        <v>0</v>
      </c>
      <c r="K369" s="71">
        <f>0+'[1]táj.2'!K369</f>
        <v>0</v>
      </c>
      <c r="L369" s="71">
        <f>0+'[1]táj.2'!L369</f>
        <v>0</v>
      </c>
      <c r="M369" s="71">
        <f>150+'[1]táj.2'!M369</f>
        <v>0</v>
      </c>
      <c r="N369" s="71">
        <f>0+'[1]táj.2'!N369</f>
        <v>0</v>
      </c>
      <c r="O369" s="71">
        <f>0+'[1]táj.2'!O369</f>
        <v>0</v>
      </c>
      <c r="P369" s="71">
        <f>0+'[1]táj.2'!P369</f>
        <v>0</v>
      </c>
      <c r="Q369" s="11">
        <f t="shared" si="22"/>
        <v>0</v>
      </c>
    </row>
    <row r="370" spans="1:17" ht="17.25" customHeight="1">
      <c r="A370" s="74"/>
      <c r="B370" s="74"/>
      <c r="C370" s="210" t="s">
        <v>1315</v>
      </c>
      <c r="D370" s="629" t="s">
        <v>1323</v>
      </c>
      <c r="E370" s="382"/>
      <c r="F370" s="11">
        <v>154450</v>
      </c>
      <c r="G370" s="71">
        <f>0+'[1]táj.2'!G370</f>
        <v>0</v>
      </c>
      <c r="H370" s="71">
        <f>0+'[1]táj.2'!H370</f>
        <v>0</v>
      </c>
      <c r="I370" s="71">
        <f>0+'[1]táj.2'!I370</f>
        <v>0</v>
      </c>
      <c r="J370" s="71">
        <f>0+'[1]táj.2'!J370</f>
        <v>0</v>
      </c>
      <c r="K370" s="71">
        <f>0+'[1]táj.2'!K370</f>
        <v>0</v>
      </c>
      <c r="L370" s="71">
        <f>0+'[1]táj.2'!L370</f>
        <v>0</v>
      </c>
      <c r="M370" s="71">
        <f>1000+'[1]táj.2'!M370</f>
        <v>1000</v>
      </c>
      <c r="N370" s="71">
        <f>0+'[1]táj.2'!N370</f>
        <v>0</v>
      </c>
      <c r="O370" s="71">
        <f>0+'[1]táj.2'!O370</f>
        <v>0</v>
      </c>
      <c r="P370" s="71">
        <f>0+'[1]táj.2'!P370</f>
        <v>0</v>
      </c>
      <c r="Q370" s="11">
        <f t="shared" si="22"/>
        <v>1000</v>
      </c>
    </row>
    <row r="371" spans="1:17" ht="17.25" customHeight="1">
      <c r="A371" s="74"/>
      <c r="B371" s="74"/>
      <c r="C371" s="210" t="s">
        <v>1316</v>
      </c>
      <c r="D371" s="629" t="s">
        <v>1324</v>
      </c>
      <c r="E371" s="382"/>
      <c r="F371" s="11">
        <v>154474</v>
      </c>
      <c r="G371" s="71">
        <f>0+'[1]táj.2'!G371</f>
        <v>0</v>
      </c>
      <c r="H371" s="71">
        <f>0+'[1]táj.2'!H371</f>
        <v>0</v>
      </c>
      <c r="I371" s="71">
        <f>0+'[1]táj.2'!I371</f>
        <v>0</v>
      </c>
      <c r="J371" s="71">
        <f>0+'[1]táj.2'!J371</f>
        <v>0</v>
      </c>
      <c r="K371" s="71">
        <f>0+'[1]táj.2'!K371</f>
        <v>0</v>
      </c>
      <c r="L371" s="71">
        <f>0+'[1]táj.2'!L371</f>
        <v>0</v>
      </c>
      <c r="M371" s="71">
        <f>1000+'[1]táj.2'!M371</f>
        <v>1000</v>
      </c>
      <c r="N371" s="71">
        <f>0+'[1]táj.2'!N371</f>
        <v>0</v>
      </c>
      <c r="O371" s="71">
        <f>0+'[1]táj.2'!O371</f>
        <v>0</v>
      </c>
      <c r="P371" s="71">
        <f>0+'[1]táj.2'!P371</f>
        <v>0</v>
      </c>
      <c r="Q371" s="11">
        <f t="shared" si="22"/>
        <v>1000</v>
      </c>
    </row>
    <row r="372" spans="1:17" ht="17.25" customHeight="1">
      <c r="A372" s="74"/>
      <c r="B372" s="74"/>
      <c r="C372" s="210" t="s">
        <v>1493</v>
      </c>
      <c r="D372" s="629" t="s">
        <v>1325</v>
      </c>
      <c r="E372" s="382"/>
      <c r="F372" s="11">
        <v>154475</v>
      </c>
      <c r="G372" s="71">
        <f>0+'[1]táj.2'!G372</f>
        <v>0</v>
      </c>
      <c r="H372" s="71">
        <f>0+'[1]táj.2'!H372</f>
        <v>0</v>
      </c>
      <c r="I372" s="71">
        <f>0+'[1]táj.2'!I372</f>
        <v>0</v>
      </c>
      <c r="J372" s="71">
        <f>0+'[1]táj.2'!J372</f>
        <v>0</v>
      </c>
      <c r="K372" s="71">
        <f>0+'[1]táj.2'!K372</f>
        <v>0</v>
      </c>
      <c r="L372" s="71">
        <f>0+'[1]táj.2'!L372</f>
        <v>0</v>
      </c>
      <c r="M372" s="71">
        <f>900+'[1]táj.2'!M372</f>
        <v>1144</v>
      </c>
      <c r="N372" s="71">
        <f>0+'[1]táj.2'!N372</f>
        <v>0</v>
      </c>
      <c r="O372" s="71">
        <f>0+'[1]táj.2'!O372</f>
        <v>0</v>
      </c>
      <c r="P372" s="71">
        <f>0+'[1]táj.2'!P372</f>
        <v>0</v>
      </c>
      <c r="Q372" s="11">
        <f t="shared" si="22"/>
        <v>1144</v>
      </c>
    </row>
    <row r="373" spans="1:17" ht="30.75" customHeight="1">
      <c r="A373" s="74"/>
      <c r="B373" s="74"/>
      <c r="C373" s="210" t="s">
        <v>1494</v>
      </c>
      <c r="D373" s="629" t="s">
        <v>1330</v>
      </c>
      <c r="E373" s="382"/>
      <c r="F373" s="11">
        <v>154433</v>
      </c>
      <c r="G373" s="71">
        <f>0+'[1]táj.2'!G373</f>
        <v>0</v>
      </c>
      <c r="H373" s="71">
        <f>0+'[1]táj.2'!H373</f>
        <v>0</v>
      </c>
      <c r="I373" s="71">
        <f>0+'[1]táj.2'!I373</f>
        <v>0</v>
      </c>
      <c r="J373" s="71">
        <f>0+'[1]táj.2'!J373</f>
        <v>0</v>
      </c>
      <c r="K373" s="71">
        <f>0+'[1]táj.2'!K373</f>
        <v>0</v>
      </c>
      <c r="L373" s="71">
        <f>0+'[1]táj.2'!L373</f>
        <v>0</v>
      </c>
      <c r="M373" s="71">
        <f>1000+'[1]táj.2'!M373</f>
        <v>1000</v>
      </c>
      <c r="N373" s="71">
        <f>0+'[1]táj.2'!N373</f>
        <v>0</v>
      </c>
      <c r="O373" s="71">
        <f>0+'[1]táj.2'!O373</f>
        <v>0</v>
      </c>
      <c r="P373" s="71">
        <f>0+'[1]táj.2'!P373</f>
        <v>0</v>
      </c>
      <c r="Q373" s="11">
        <f t="shared" si="22"/>
        <v>1000</v>
      </c>
    </row>
    <row r="374" spans="1:17" ht="29.25" customHeight="1">
      <c r="A374" s="74"/>
      <c r="B374" s="74"/>
      <c r="C374" s="210" t="s">
        <v>1495</v>
      </c>
      <c r="D374" s="629" t="s">
        <v>1331</v>
      </c>
      <c r="E374" s="382"/>
      <c r="F374" s="11">
        <v>154478</v>
      </c>
      <c r="G374" s="71">
        <f>0+'[1]táj.2'!G374</f>
        <v>0</v>
      </c>
      <c r="H374" s="71">
        <f>0+'[1]táj.2'!H374</f>
        <v>0</v>
      </c>
      <c r="I374" s="71">
        <f>0+'[1]táj.2'!I374</f>
        <v>0</v>
      </c>
      <c r="J374" s="71">
        <f>0+'[1]táj.2'!J374</f>
        <v>0</v>
      </c>
      <c r="K374" s="71">
        <f>0+'[1]táj.2'!K374</f>
        <v>0</v>
      </c>
      <c r="L374" s="71">
        <f>0+'[1]táj.2'!L374</f>
        <v>0</v>
      </c>
      <c r="M374" s="71">
        <f>250+'[1]táj.2'!M374</f>
        <v>0</v>
      </c>
      <c r="N374" s="71">
        <f>0+'[1]táj.2'!N374</f>
        <v>0</v>
      </c>
      <c r="O374" s="71">
        <f>0+'[1]táj.2'!O374</f>
        <v>0</v>
      </c>
      <c r="P374" s="71">
        <f>0+'[1]táj.2'!P374</f>
        <v>0</v>
      </c>
      <c r="Q374" s="11">
        <f t="shared" si="22"/>
        <v>0</v>
      </c>
    </row>
    <row r="375" spans="1:17" ht="17.25" customHeight="1">
      <c r="A375" s="74"/>
      <c r="B375" s="74"/>
      <c r="C375" s="210" t="s">
        <v>1496</v>
      </c>
      <c r="D375" s="629" t="s">
        <v>1332</v>
      </c>
      <c r="E375" s="382"/>
      <c r="F375" s="11">
        <v>154479</v>
      </c>
      <c r="G375" s="71">
        <f>0+'[1]táj.2'!G375</f>
        <v>0</v>
      </c>
      <c r="H375" s="71">
        <f>0+'[1]táj.2'!H375</f>
        <v>0</v>
      </c>
      <c r="I375" s="71">
        <f>0+'[1]táj.2'!I375</f>
        <v>0</v>
      </c>
      <c r="J375" s="71">
        <f>0+'[1]táj.2'!J375</f>
        <v>0</v>
      </c>
      <c r="K375" s="71">
        <f>0+'[1]táj.2'!K375</f>
        <v>0</v>
      </c>
      <c r="L375" s="71">
        <f>0+'[1]táj.2'!L375</f>
        <v>0</v>
      </c>
      <c r="M375" s="71">
        <f>1750+'[1]táj.2'!M375</f>
        <v>2650</v>
      </c>
      <c r="N375" s="71">
        <f>0+'[1]táj.2'!N375</f>
        <v>0</v>
      </c>
      <c r="O375" s="71">
        <f>0+'[1]táj.2'!O375</f>
        <v>0</v>
      </c>
      <c r="P375" s="71">
        <f>0+'[1]táj.2'!P375</f>
        <v>0</v>
      </c>
      <c r="Q375" s="11">
        <f t="shared" si="22"/>
        <v>2650</v>
      </c>
    </row>
    <row r="376" spans="1:17" ht="29.25" customHeight="1">
      <c r="A376" s="74"/>
      <c r="B376" s="74"/>
      <c r="C376" s="210" t="s">
        <v>1497</v>
      </c>
      <c r="D376" s="629" t="s">
        <v>1333</v>
      </c>
      <c r="E376" s="382"/>
      <c r="F376" s="11">
        <v>154480</v>
      </c>
      <c r="G376" s="71">
        <f>0+'[1]táj.2'!G376</f>
        <v>0</v>
      </c>
      <c r="H376" s="71">
        <f>0+'[1]táj.2'!H376</f>
        <v>0</v>
      </c>
      <c r="I376" s="71">
        <f>0+'[1]táj.2'!I376</f>
        <v>0</v>
      </c>
      <c r="J376" s="71">
        <f>0+'[1]táj.2'!J376</f>
        <v>0</v>
      </c>
      <c r="K376" s="71">
        <f>0+'[1]táj.2'!K376</f>
        <v>0</v>
      </c>
      <c r="L376" s="71">
        <f>0+'[1]táj.2'!L376</f>
        <v>0</v>
      </c>
      <c r="M376" s="71">
        <f>1250+'[1]táj.2'!M376</f>
        <v>1250</v>
      </c>
      <c r="N376" s="71">
        <f>0+'[1]táj.2'!N376</f>
        <v>0</v>
      </c>
      <c r="O376" s="71">
        <f>0+'[1]táj.2'!O376</f>
        <v>0</v>
      </c>
      <c r="P376" s="71">
        <f>0+'[1]táj.2'!P376</f>
        <v>0</v>
      </c>
      <c r="Q376" s="11">
        <f t="shared" si="22"/>
        <v>1250</v>
      </c>
    </row>
    <row r="377" spans="1:17" ht="25.5" customHeight="1">
      <c r="A377" s="74"/>
      <c r="B377" s="74"/>
      <c r="C377" s="210" t="s">
        <v>1498</v>
      </c>
      <c r="D377" s="629" t="s">
        <v>1334</v>
      </c>
      <c r="E377" s="382"/>
      <c r="F377" s="11">
        <v>152404</v>
      </c>
      <c r="G377" s="71">
        <f>0+'[1]táj.2'!G377</f>
        <v>0</v>
      </c>
      <c r="H377" s="71">
        <f>0+'[1]táj.2'!H377</f>
        <v>0</v>
      </c>
      <c r="I377" s="71">
        <f>0+'[1]táj.2'!I377</f>
        <v>0</v>
      </c>
      <c r="J377" s="71">
        <f>0+'[1]táj.2'!J377</f>
        <v>0</v>
      </c>
      <c r="K377" s="71">
        <f>0+'[1]táj.2'!K377</f>
        <v>0</v>
      </c>
      <c r="L377" s="71">
        <f>4500+'[1]táj.2'!L377</f>
        <v>4500</v>
      </c>
      <c r="M377" s="71">
        <f>0+'[1]táj.2'!M377</f>
        <v>0</v>
      </c>
      <c r="N377" s="71">
        <f>0+'[1]táj.2'!N377</f>
        <v>0</v>
      </c>
      <c r="O377" s="71">
        <f>0+'[1]táj.2'!O377</f>
        <v>0</v>
      </c>
      <c r="P377" s="71">
        <f>0+'[1]táj.2'!P377</f>
        <v>0</v>
      </c>
      <c r="Q377" s="11">
        <f t="shared" si="22"/>
        <v>4500</v>
      </c>
    </row>
    <row r="378" spans="1:17" ht="19.5" customHeight="1">
      <c r="A378" s="74"/>
      <c r="B378" s="74"/>
      <c r="C378" s="210" t="s">
        <v>1499</v>
      </c>
      <c r="D378" s="629" t="s">
        <v>1335</v>
      </c>
      <c r="E378" s="382"/>
      <c r="F378" s="11">
        <v>152407</v>
      </c>
      <c r="G378" s="71">
        <f>0+'[1]táj.2'!G378</f>
        <v>0</v>
      </c>
      <c r="H378" s="71">
        <f>0+'[1]táj.2'!H378</f>
        <v>0</v>
      </c>
      <c r="I378" s="71">
        <f>0+'[1]táj.2'!I378</f>
        <v>0</v>
      </c>
      <c r="J378" s="71">
        <f>0+'[1]táj.2'!J378</f>
        <v>0</v>
      </c>
      <c r="K378" s="71">
        <f>0+'[1]táj.2'!K378</f>
        <v>0</v>
      </c>
      <c r="L378" s="71">
        <f>2000+'[1]táj.2'!L378</f>
        <v>2000</v>
      </c>
      <c r="M378" s="71">
        <f>0+'[1]táj.2'!M378</f>
        <v>0</v>
      </c>
      <c r="N378" s="71">
        <f>0+'[1]táj.2'!N378</f>
        <v>0</v>
      </c>
      <c r="O378" s="71">
        <f>0+'[1]táj.2'!O378</f>
        <v>0</v>
      </c>
      <c r="P378" s="71">
        <f>0+'[1]táj.2'!P378</f>
        <v>0</v>
      </c>
      <c r="Q378" s="11">
        <f t="shared" si="22"/>
        <v>2000</v>
      </c>
    </row>
    <row r="379" spans="1:17" ht="17.25" customHeight="1">
      <c r="A379" s="74"/>
      <c r="B379" s="74"/>
      <c r="C379" s="210" t="s">
        <v>1500</v>
      </c>
      <c r="D379" s="629" t="s">
        <v>1337</v>
      </c>
      <c r="E379" s="382"/>
      <c r="F379" s="11">
        <v>154481</v>
      </c>
      <c r="G379" s="71">
        <f>0+'[1]táj.2'!G379</f>
        <v>0</v>
      </c>
      <c r="H379" s="71">
        <f>0+'[1]táj.2'!H379</f>
        <v>0</v>
      </c>
      <c r="I379" s="71">
        <f>0+'[1]táj.2'!I379</f>
        <v>0</v>
      </c>
      <c r="J379" s="71">
        <f>0+'[1]táj.2'!J379</f>
        <v>0</v>
      </c>
      <c r="K379" s="71">
        <f>0+'[1]táj.2'!K379</f>
        <v>0</v>
      </c>
      <c r="L379" s="71">
        <f>0+'[1]táj.2'!L379</f>
        <v>0</v>
      </c>
      <c r="M379" s="71">
        <f>500+'[1]táj.2'!M379</f>
        <v>500</v>
      </c>
      <c r="N379" s="71">
        <f>0+'[1]táj.2'!N379</f>
        <v>0</v>
      </c>
      <c r="O379" s="71">
        <f>0+'[1]táj.2'!O379</f>
        <v>0</v>
      </c>
      <c r="P379" s="71">
        <f>0+'[1]táj.2'!P379</f>
        <v>0</v>
      </c>
      <c r="Q379" s="11">
        <f t="shared" si="22"/>
        <v>500</v>
      </c>
    </row>
    <row r="380" spans="1:17" ht="17.25" customHeight="1">
      <c r="A380" s="74"/>
      <c r="B380" s="74"/>
      <c r="C380" s="210" t="s">
        <v>1501</v>
      </c>
      <c r="D380" s="629" t="s">
        <v>1341</v>
      </c>
      <c r="E380" s="382"/>
      <c r="F380" s="11">
        <v>152408</v>
      </c>
      <c r="G380" s="71">
        <f>0+'[1]táj.2'!G380</f>
        <v>0</v>
      </c>
      <c r="H380" s="71">
        <f>0+'[1]táj.2'!H380</f>
        <v>0</v>
      </c>
      <c r="I380" s="71">
        <f>0+'[1]táj.2'!I380</f>
        <v>0</v>
      </c>
      <c r="J380" s="71">
        <f>0+'[1]táj.2'!J380</f>
        <v>0</v>
      </c>
      <c r="K380" s="71">
        <f>0+'[1]táj.2'!K380</f>
        <v>0</v>
      </c>
      <c r="L380" s="71">
        <f>4336+'[1]táj.2'!L380</f>
        <v>4336</v>
      </c>
      <c r="M380" s="71">
        <f>0+'[1]táj.2'!M380</f>
        <v>0</v>
      </c>
      <c r="N380" s="71">
        <f>0+'[1]táj.2'!N380</f>
        <v>0</v>
      </c>
      <c r="O380" s="71">
        <f>0+'[1]táj.2'!O380</f>
        <v>0</v>
      </c>
      <c r="P380" s="71">
        <f>0+'[1]táj.2'!P380</f>
        <v>0</v>
      </c>
      <c r="Q380" s="11">
        <f t="shared" si="22"/>
        <v>4336</v>
      </c>
    </row>
    <row r="381" spans="1:17" ht="17.25" customHeight="1">
      <c r="A381" s="74"/>
      <c r="B381" s="74"/>
      <c r="C381" s="210" t="s">
        <v>1502</v>
      </c>
      <c r="D381" s="629" t="s">
        <v>1342</v>
      </c>
      <c r="E381" s="382"/>
      <c r="F381" s="11">
        <v>154482</v>
      </c>
      <c r="G381" s="71">
        <f>0+'[1]táj.2'!G381</f>
        <v>0</v>
      </c>
      <c r="H381" s="71">
        <f>0+'[1]táj.2'!H381</f>
        <v>0</v>
      </c>
      <c r="I381" s="71">
        <f>0+'[1]táj.2'!I381</f>
        <v>0</v>
      </c>
      <c r="J381" s="71">
        <f>0+'[1]táj.2'!J381</f>
        <v>0</v>
      </c>
      <c r="K381" s="71">
        <f>0+'[1]táj.2'!K381</f>
        <v>0</v>
      </c>
      <c r="L381" s="71">
        <f>0+'[1]táj.2'!L381</f>
        <v>0</v>
      </c>
      <c r="M381" s="71">
        <f>2400+'[1]táj.2'!M381</f>
        <v>2400</v>
      </c>
      <c r="N381" s="71">
        <f>0+'[1]táj.2'!N381</f>
        <v>0</v>
      </c>
      <c r="O381" s="71">
        <f>0+'[1]táj.2'!O381</f>
        <v>0</v>
      </c>
      <c r="P381" s="71">
        <f>0+'[1]táj.2'!P381</f>
        <v>0</v>
      </c>
      <c r="Q381" s="11">
        <f t="shared" si="22"/>
        <v>2400</v>
      </c>
    </row>
    <row r="382" spans="1:17" ht="17.25" customHeight="1">
      <c r="A382" s="74"/>
      <c r="B382" s="74"/>
      <c r="C382" s="210" t="s">
        <v>1503</v>
      </c>
      <c r="D382" s="629" t="s">
        <v>1343</v>
      </c>
      <c r="E382" s="382"/>
      <c r="F382" s="11">
        <v>154483</v>
      </c>
      <c r="G382" s="71">
        <f>0+'[1]táj.2'!G382</f>
        <v>0</v>
      </c>
      <c r="H382" s="71">
        <f>0+'[1]táj.2'!H382</f>
        <v>0</v>
      </c>
      <c r="I382" s="71">
        <f>0+'[1]táj.2'!I382</f>
        <v>0</v>
      </c>
      <c r="J382" s="71">
        <f>0+'[1]táj.2'!J382</f>
        <v>0</v>
      </c>
      <c r="K382" s="71">
        <f>0+'[1]táj.2'!K382</f>
        <v>0</v>
      </c>
      <c r="L382" s="71">
        <f>0+'[1]táj.2'!L382</f>
        <v>0</v>
      </c>
      <c r="M382" s="71">
        <f>3000+'[1]táj.2'!M382</f>
        <v>3000</v>
      </c>
      <c r="N382" s="71">
        <f>0+'[1]táj.2'!N382</f>
        <v>0</v>
      </c>
      <c r="O382" s="71">
        <f>0+'[1]táj.2'!O382</f>
        <v>0</v>
      </c>
      <c r="P382" s="71">
        <f>0+'[1]táj.2'!P382</f>
        <v>0</v>
      </c>
      <c r="Q382" s="11">
        <f t="shared" si="22"/>
        <v>3000</v>
      </c>
    </row>
    <row r="383" spans="1:17" ht="17.25" customHeight="1">
      <c r="A383" s="74"/>
      <c r="B383" s="74"/>
      <c r="C383" s="210" t="s">
        <v>1504</v>
      </c>
      <c r="D383" s="629" t="s">
        <v>1344</v>
      </c>
      <c r="E383" s="382"/>
      <c r="F383" s="11">
        <v>154484</v>
      </c>
      <c r="G383" s="71">
        <f>0+'[1]táj.2'!G383</f>
        <v>0</v>
      </c>
      <c r="H383" s="71">
        <f>0+'[1]táj.2'!H383</f>
        <v>0</v>
      </c>
      <c r="I383" s="71">
        <f>0+'[1]táj.2'!I383</f>
        <v>0</v>
      </c>
      <c r="J383" s="71">
        <f>0+'[1]táj.2'!J383</f>
        <v>0</v>
      </c>
      <c r="K383" s="71">
        <f>0+'[1]táj.2'!K383</f>
        <v>0</v>
      </c>
      <c r="L383" s="71">
        <f>0+'[1]táj.2'!L383</f>
        <v>0</v>
      </c>
      <c r="M383" s="71">
        <f>1000+'[1]táj.2'!M383</f>
        <v>0</v>
      </c>
      <c r="N383" s="71">
        <f>0+'[1]táj.2'!N383</f>
        <v>0</v>
      </c>
      <c r="O383" s="71">
        <f>0+'[1]táj.2'!O383</f>
        <v>0</v>
      </c>
      <c r="P383" s="71">
        <f>0+'[1]táj.2'!P383</f>
        <v>0</v>
      </c>
      <c r="Q383" s="11">
        <f aca="true" t="shared" si="23" ref="Q383:Q414">SUM(G383:P383)</f>
        <v>0</v>
      </c>
    </row>
    <row r="384" spans="1:17" ht="30" customHeight="1">
      <c r="A384" s="74"/>
      <c r="B384" s="74"/>
      <c r="C384" s="210" t="s">
        <v>1505</v>
      </c>
      <c r="D384" s="629" t="s">
        <v>1345</v>
      </c>
      <c r="E384" s="382"/>
      <c r="F384" s="11">
        <v>152409</v>
      </c>
      <c r="G384" s="71">
        <f>0+'[1]táj.2'!G384</f>
        <v>0</v>
      </c>
      <c r="H384" s="71">
        <f>0+'[1]táj.2'!H384</f>
        <v>0</v>
      </c>
      <c r="I384" s="71">
        <f>0+'[1]táj.2'!I384</f>
        <v>0</v>
      </c>
      <c r="J384" s="71">
        <f>0+'[1]táj.2'!J384</f>
        <v>0</v>
      </c>
      <c r="K384" s="71">
        <f>0+'[1]táj.2'!K384</f>
        <v>0</v>
      </c>
      <c r="L384" s="71">
        <f>1100+'[1]táj.2'!L384</f>
        <v>0</v>
      </c>
      <c r="M384" s="71">
        <f>0+'[1]táj.2'!M384</f>
        <v>1100</v>
      </c>
      <c r="N384" s="71">
        <f>0+'[1]táj.2'!N384</f>
        <v>0</v>
      </c>
      <c r="O384" s="71">
        <f>0+'[1]táj.2'!O384</f>
        <v>0</v>
      </c>
      <c r="P384" s="71">
        <f>0+'[1]táj.2'!P384</f>
        <v>0</v>
      </c>
      <c r="Q384" s="11">
        <f t="shared" si="23"/>
        <v>1100</v>
      </c>
    </row>
    <row r="385" spans="1:17" ht="17.25" customHeight="1">
      <c r="A385" s="74"/>
      <c r="B385" s="74"/>
      <c r="C385" s="210" t="s">
        <v>1506</v>
      </c>
      <c r="D385" s="629" t="s">
        <v>2</v>
      </c>
      <c r="E385" s="382"/>
      <c r="F385" s="11">
        <v>154486</v>
      </c>
      <c r="G385" s="71">
        <f>0+'[1]táj.2'!G385</f>
        <v>0</v>
      </c>
      <c r="H385" s="71">
        <f>0+'[1]táj.2'!H385</f>
        <v>0</v>
      </c>
      <c r="I385" s="71">
        <f>0+'[1]táj.2'!I385</f>
        <v>0</v>
      </c>
      <c r="J385" s="71">
        <f>0+'[1]táj.2'!J385</f>
        <v>0</v>
      </c>
      <c r="K385" s="71">
        <f>0+'[1]táj.2'!K385</f>
        <v>0</v>
      </c>
      <c r="L385" s="71">
        <f>0+'[1]táj.2'!L385</f>
        <v>0</v>
      </c>
      <c r="M385" s="71">
        <f>500+'[1]táj.2'!M385</f>
        <v>500</v>
      </c>
      <c r="N385" s="71">
        <f>0+'[1]táj.2'!N385</f>
        <v>0</v>
      </c>
      <c r="O385" s="71">
        <f>0+'[1]táj.2'!O385</f>
        <v>0</v>
      </c>
      <c r="P385" s="71">
        <f>0+'[1]táj.2'!P385</f>
        <v>0</v>
      </c>
      <c r="Q385" s="11">
        <f t="shared" si="23"/>
        <v>500</v>
      </c>
    </row>
    <row r="386" spans="1:17" ht="27" customHeight="1">
      <c r="A386" s="74"/>
      <c r="B386" s="74"/>
      <c r="C386" s="210" t="s">
        <v>1507</v>
      </c>
      <c r="D386" s="629" t="s">
        <v>1346</v>
      </c>
      <c r="E386" s="382"/>
      <c r="F386" s="11">
        <v>154487</v>
      </c>
      <c r="G386" s="71">
        <f>0+'[1]táj.2'!G386</f>
        <v>0</v>
      </c>
      <c r="H386" s="71">
        <f>0+'[1]táj.2'!H386</f>
        <v>0</v>
      </c>
      <c r="I386" s="71">
        <f>0+'[1]táj.2'!I386</f>
        <v>0</v>
      </c>
      <c r="J386" s="71">
        <f>0+'[1]táj.2'!J386</f>
        <v>0</v>
      </c>
      <c r="K386" s="71">
        <f>0+'[1]táj.2'!K386</f>
        <v>0</v>
      </c>
      <c r="L386" s="71">
        <f>0+'[1]táj.2'!L386</f>
        <v>0</v>
      </c>
      <c r="M386" s="71">
        <f>1000+'[1]táj.2'!M386</f>
        <v>1000</v>
      </c>
      <c r="N386" s="71">
        <f>0+'[1]táj.2'!N386</f>
        <v>0</v>
      </c>
      <c r="O386" s="71">
        <f>0+'[1]táj.2'!O386</f>
        <v>0</v>
      </c>
      <c r="P386" s="71">
        <f>0+'[1]táj.2'!P386</f>
        <v>0</v>
      </c>
      <c r="Q386" s="11">
        <f t="shared" si="23"/>
        <v>1000</v>
      </c>
    </row>
    <row r="387" spans="1:17" ht="17.25" customHeight="1">
      <c r="A387" s="74"/>
      <c r="B387" s="74"/>
      <c r="C387" s="210" t="s">
        <v>1508</v>
      </c>
      <c r="D387" s="629" t="s">
        <v>1460</v>
      </c>
      <c r="E387" s="382"/>
      <c r="F387" s="11">
        <v>154488</v>
      </c>
      <c r="G387" s="71">
        <f>0+'[1]táj.2'!G387</f>
        <v>0</v>
      </c>
      <c r="H387" s="71">
        <f>0+'[1]táj.2'!H387</f>
        <v>0</v>
      </c>
      <c r="I387" s="71">
        <f>0+'[1]táj.2'!I387</f>
        <v>0</v>
      </c>
      <c r="J387" s="71">
        <f>0+'[1]táj.2'!J387</f>
        <v>0</v>
      </c>
      <c r="K387" s="71">
        <f>0+'[1]táj.2'!K387</f>
        <v>0</v>
      </c>
      <c r="L387" s="71">
        <f>0+'[1]táj.2'!L387</f>
        <v>0</v>
      </c>
      <c r="M387" s="71">
        <f>500+'[1]táj.2'!M387</f>
        <v>500</v>
      </c>
      <c r="N387" s="71">
        <f>0+'[1]táj.2'!N387</f>
        <v>0</v>
      </c>
      <c r="O387" s="71">
        <f>0+'[1]táj.2'!O387</f>
        <v>0</v>
      </c>
      <c r="P387" s="71">
        <f>0+'[1]táj.2'!P387</f>
        <v>0</v>
      </c>
      <c r="Q387" s="11">
        <f t="shared" si="23"/>
        <v>500</v>
      </c>
    </row>
    <row r="388" spans="1:17" ht="17.25" customHeight="1">
      <c r="A388" s="74"/>
      <c r="B388" s="74"/>
      <c r="C388" s="210" t="s">
        <v>1509</v>
      </c>
      <c r="D388" s="629" t="s">
        <v>1462</v>
      </c>
      <c r="E388" s="382"/>
      <c r="F388" s="11">
        <v>154489</v>
      </c>
      <c r="G388" s="71">
        <f>0+'[1]táj.2'!G388</f>
        <v>0</v>
      </c>
      <c r="H388" s="71">
        <f>0+'[1]táj.2'!H388</f>
        <v>0</v>
      </c>
      <c r="I388" s="71">
        <f>0+'[1]táj.2'!I388</f>
        <v>0</v>
      </c>
      <c r="J388" s="71">
        <f>0+'[1]táj.2'!J388</f>
        <v>0</v>
      </c>
      <c r="K388" s="71">
        <f>0+'[1]táj.2'!K388</f>
        <v>0</v>
      </c>
      <c r="L388" s="71">
        <f>0+'[1]táj.2'!L388</f>
        <v>0</v>
      </c>
      <c r="M388" s="71">
        <f>2500+'[1]táj.2'!M388</f>
        <v>2500</v>
      </c>
      <c r="N388" s="71">
        <f>0+'[1]táj.2'!N388</f>
        <v>0</v>
      </c>
      <c r="O388" s="71">
        <f>0+'[1]táj.2'!O388</f>
        <v>0</v>
      </c>
      <c r="P388" s="71">
        <f>0+'[1]táj.2'!P388</f>
        <v>0</v>
      </c>
      <c r="Q388" s="11">
        <f t="shared" si="23"/>
        <v>2500</v>
      </c>
    </row>
    <row r="389" spans="1:17" ht="17.25" customHeight="1">
      <c r="A389" s="74"/>
      <c r="B389" s="74"/>
      <c r="C389" s="210" t="s">
        <v>1510</v>
      </c>
      <c r="D389" s="629" t="s">
        <v>1469</v>
      </c>
      <c r="E389" s="382"/>
      <c r="F389" s="11">
        <v>154490</v>
      </c>
      <c r="G389" s="71">
        <f>0+'[1]táj.2'!G389</f>
        <v>0</v>
      </c>
      <c r="H389" s="71">
        <f>0+'[1]táj.2'!H389</f>
        <v>0</v>
      </c>
      <c r="I389" s="71">
        <f>0+'[1]táj.2'!I389</f>
        <v>0</v>
      </c>
      <c r="J389" s="71">
        <f>0+'[1]táj.2'!J389</f>
        <v>0</v>
      </c>
      <c r="K389" s="71">
        <f>0+'[1]táj.2'!K389</f>
        <v>0</v>
      </c>
      <c r="L389" s="71">
        <f>0+'[1]táj.2'!L389</f>
        <v>0</v>
      </c>
      <c r="M389" s="71">
        <f>1500+'[1]táj.2'!M389</f>
        <v>1500</v>
      </c>
      <c r="N389" s="71">
        <f>0+'[1]táj.2'!N389</f>
        <v>0</v>
      </c>
      <c r="O389" s="71">
        <f>0+'[1]táj.2'!O389</f>
        <v>0</v>
      </c>
      <c r="P389" s="71">
        <f>0+'[1]táj.2'!P389</f>
        <v>0</v>
      </c>
      <c r="Q389" s="11">
        <f t="shared" si="23"/>
        <v>1500</v>
      </c>
    </row>
    <row r="390" spans="1:17" ht="15.75" customHeight="1">
      <c r="A390" s="74"/>
      <c r="B390" s="74"/>
      <c r="C390" s="210" t="s">
        <v>1511</v>
      </c>
      <c r="D390" s="629" t="s">
        <v>1478</v>
      </c>
      <c r="E390" s="382"/>
      <c r="F390" s="11">
        <v>154491</v>
      </c>
      <c r="G390" s="71">
        <f>0+'[1]táj.2'!G390</f>
        <v>0</v>
      </c>
      <c r="H390" s="71">
        <f>0+'[1]táj.2'!H390</f>
        <v>0</v>
      </c>
      <c r="I390" s="71">
        <f>0+'[1]táj.2'!I390</f>
        <v>0</v>
      </c>
      <c r="J390" s="71">
        <f>0+'[1]táj.2'!J390</f>
        <v>0</v>
      </c>
      <c r="K390" s="71">
        <f>0+'[1]táj.2'!K390</f>
        <v>0</v>
      </c>
      <c r="L390" s="71">
        <f>0+'[1]táj.2'!L390</f>
        <v>0</v>
      </c>
      <c r="M390" s="71">
        <f>2000+'[1]táj.2'!M390</f>
        <v>2000</v>
      </c>
      <c r="N390" s="71">
        <f>0+'[1]táj.2'!N390</f>
        <v>0</v>
      </c>
      <c r="O390" s="71">
        <f>0+'[1]táj.2'!O390</f>
        <v>0</v>
      </c>
      <c r="P390" s="71">
        <f>0+'[1]táj.2'!P390</f>
        <v>0</v>
      </c>
      <c r="Q390" s="11">
        <f t="shared" si="23"/>
        <v>2000</v>
      </c>
    </row>
    <row r="391" spans="1:17" ht="20.25" customHeight="1">
      <c r="A391" s="74"/>
      <c r="B391" s="74"/>
      <c r="C391" s="210" t="s">
        <v>1512</v>
      </c>
      <c r="D391" s="629" t="s">
        <v>1479</v>
      </c>
      <c r="E391" s="382"/>
      <c r="F391" s="11">
        <v>154414</v>
      </c>
      <c r="G391" s="71">
        <f>0+'[1]táj.2'!G391</f>
        <v>0</v>
      </c>
      <c r="H391" s="71">
        <f>0+'[1]táj.2'!H391</f>
        <v>0</v>
      </c>
      <c r="I391" s="71">
        <f>0+'[1]táj.2'!I391</f>
        <v>0</v>
      </c>
      <c r="J391" s="71">
        <f>0+'[1]táj.2'!J391</f>
        <v>0</v>
      </c>
      <c r="K391" s="71">
        <f>0+'[1]táj.2'!K391</f>
        <v>0</v>
      </c>
      <c r="L391" s="71">
        <f>0+'[1]táj.2'!L391</f>
        <v>0</v>
      </c>
      <c r="M391" s="71">
        <f>1500+'[1]táj.2'!M391</f>
        <v>1500</v>
      </c>
      <c r="N391" s="71">
        <f>0+'[1]táj.2'!N391</f>
        <v>0</v>
      </c>
      <c r="O391" s="71">
        <f>0+'[1]táj.2'!O391</f>
        <v>0</v>
      </c>
      <c r="P391" s="71">
        <f>0+'[1]táj.2'!P391</f>
        <v>0</v>
      </c>
      <c r="Q391" s="11">
        <f t="shared" si="23"/>
        <v>1500</v>
      </c>
    </row>
    <row r="392" spans="1:17" ht="18.75" customHeight="1">
      <c r="A392" s="74"/>
      <c r="B392" s="74"/>
      <c r="C392" s="210" t="s">
        <v>1513</v>
      </c>
      <c r="D392" s="629" t="s">
        <v>1480</v>
      </c>
      <c r="E392" s="382"/>
      <c r="F392" s="11">
        <v>154493</v>
      </c>
      <c r="G392" s="71">
        <f>0+'[1]táj.2'!G392</f>
        <v>0</v>
      </c>
      <c r="H392" s="71">
        <f>0+'[1]táj.2'!H392</f>
        <v>0</v>
      </c>
      <c r="I392" s="71">
        <f>0+'[1]táj.2'!I392</f>
        <v>0</v>
      </c>
      <c r="J392" s="71">
        <f>0+'[1]táj.2'!J392</f>
        <v>0</v>
      </c>
      <c r="K392" s="71">
        <f>0+'[1]táj.2'!K392</f>
        <v>0</v>
      </c>
      <c r="L392" s="71">
        <f>0+'[1]táj.2'!L392</f>
        <v>0</v>
      </c>
      <c r="M392" s="71">
        <f>1500+'[1]táj.2'!M392</f>
        <v>1500</v>
      </c>
      <c r="N392" s="71">
        <f>0+'[1]táj.2'!N392</f>
        <v>0</v>
      </c>
      <c r="O392" s="71">
        <f>0+'[1]táj.2'!O392</f>
        <v>0</v>
      </c>
      <c r="P392" s="71">
        <f>0+'[1]táj.2'!P392</f>
        <v>0</v>
      </c>
      <c r="Q392" s="11">
        <f t="shared" si="23"/>
        <v>1500</v>
      </c>
    </row>
    <row r="393" spans="1:17" ht="15.75" customHeight="1">
      <c r="A393" s="74"/>
      <c r="B393" s="74"/>
      <c r="C393" s="210" t="s">
        <v>1514</v>
      </c>
      <c r="D393" s="629" t="s">
        <v>1481</v>
      </c>
      <c r="E393" s="382"/>
      <c r="F393" s="11">
        <v>152411</v>
      </c>
      <c r="G393" s="71">
        <f>0+'[1]táj.2'!G393</f>
        <v>0</v>
      </c>
      <c r="H393" s="71">
        <f>0+'[1]táj.2'!H393</f>
        <v>0</v>
      </c>
      <c r="I393" s="71">
        <f>0+'[1]táj.2'!I393</f>
        <v>0</v>
      </c>
      <c r="J393" s="71">
        <f>0+'[1]táj.2'!J393</f>
        <v>0</v>
      </c>
      <c r="K393" s="71">
        <f>0+'[1]táj.2'!K393</f>
        <v>0</v>
      </c>
      <c r="L393" s="71">
        <f>1500+'[1]táj.2'!L393</f>
        <v>1500</v>
      </c>
      <c r="M393" s="71">
        <f>0+'[1]táj.2'!M393</f>
        <v>0</v>
      </c>
      <c r="N393" s="71">
        <f>0+'[1]táj.2'!N393</f>
        <v>0</v>
      </c>
      <c r="O393" s="71">
        <f>0+'[1]táj.2'!O393</f>
        <v>0</v>
      </c>
      <c r="P393" s="71">
        <f>0+'[1]táj.2'!P393</f>
        <v>0</v>
      </c>
      <c r="Q393" s="11">
        <f t="shared" si="23"/>
        <v>1500</v>
      </c>
    </row>
    <row r="394" spans="1:17" ht="29.25" customHeight="1">
      <c r="A394" s="74"/>
      <c r="B394" s="74"/>
      <c r="C394" s="210" t="s">
        <v>1515</v>
      </c>
      <c r="D394" s="629" t="s">
        <v>1482</v>
      </c>
      <c r="E394" s="382"/>
      <c r="F394" s="11">
        <v>152412</v>
      </c>
      <c r="G394" s="71">
        <f>0+'[1]táj.2'!G394</f>
        <v>0</v>
      </c>
      <c r="H394" s="71">
        <f>0+'[1]táj.2'!H394</f>
        <v>0</v>
      </c>
      <c r="I394" s="71">
        <f>0+'[1]táj.2'!I394</f>
        <v>0</v>
      </c>
      <c r="J394" s="71">
        <f>0+'[1]táj.2'!J394</f>
        <v>0</v>
      </c>
      <c r="K394" s="71">
        <f>0+'[1]táj.2'!K394</f>
        <v>0</v>
      </c>
      <c r="L394" s="71">
        <f>1080+'[1]táj.2'!L394</f>
        <v>1080</v>
      </c>
      <c r="M394" s="71">
        <f>0+'[1]táj.2'!M394</f>
        <v>0</v>
      </c>
      <c r="N394" s="71">
        <f>0+'[1]táj.2'!N394</f>
        <v>0</v>
      </c>
      <c r="O394" s="71">
        <f>0+'[1]táj.2'!O394</f>
        <v>0</v>
      </c>
      <c r="P394" s="71">
        <f>0+'[1]táj.2'!P394</f>
        <v>0</v>
      </c>
      <c r="Q394" s="11">
        <f t="shared" si="23"/>
        <v>1080</v>
      </c>
    </row>
    <row r="395" spans="1:17" ht="17.25" customHeight="1">
      <c r="A395" s="74"/>
      <c r="B395" s="74"/>
      <c r="C395" s="210" t="s">
        <v>1516</v>
      </c>
      <c r="D395" s="629" t="s">
        <v>1483</v>
      </c>
      <c r="E395" s="382"/>
      <c r="F395" s="11">
        <v>154494</v>
      </c>
      <c r="G395" s="71">
        <f>0+'[1]táj.2'!G395</f>
        <v>0</v>
      </c>
      <c r="H395" s="71">
        <f>0+'[1]táj.2'!H395</f>
        <v>0</v>
      </c>
      <c r="I395" s="71">
        <f>0+'[1]táj.2'!I395</f>
        <v>0</v>
      </c>
      <c r="J395" s="71">
        <f>0+'[1]táj.2'!J395</f>
        <v>0</v>
      </c>
      <c r="K395" s="71">
        <f>0+'[1]táj.2'!K395</f>
        <v>0</v>
      </c>
      <c r="L395" s="71">
        <f>0+'[1]táj.2'!L395</f>
        <v>0</v>
      </c>
      <c r="M395" s="71">
        <f>7380+'[1]táj.2'!M395</f>
        <v>7380</v>
      </c>
      <c r="N395" s="71">
        <f>0+'[1]táj.2'!N395</f>
        <v>0</v>
      </c>
      <c r="O395" s="71">
        <f>0+'[1]táj.2'!O395</f>
        <v>0</v>
      </c>
      <c r="P395" s="71">
        <f>0+'[1]táj.2'!P395</f>
        <v>0</v>
      </c>
      <c r="Q395" s="11">
        <f t="shared" si="23"/>
        <v>7380</v>
      </c>
    </row>
    <row r="396" spans="1:17" ht="17.25" customHeight="1">
      <c r="A396" s="74"/>
      <c r="B396" s="74"/>
      <c r="C396" s="210" t="s">
        <v>1517</v>
      </c>
      <c r="D396" s="629" t="s">
        <v>1484</v>
      </c>
      <c r="E396" s="382"/>
      <c r="F396" s="11">
        <v>152413</v>
      </c>
      <c r="G396" s="71">
        <f>0+'[1]táj.2'!G396</f>
        <v>0</v>
      </c>
      <c r="H396" s="71">
        <f>0+'[1]táj.2'!H396</f>
        <v>0</v>
      </c>
      <c r="I396" s="71">
        <f>0+'[1]táj.2'!I396</f>
        <v>0</v>
      </c>
      <c r="J396" s="71">
        <f>0+'[1]táj.2'!J396</f>
        <v>0</v>
      </c>
      <c r="K396" s="71">
        <f>0+'[1]táj.2'!K396</f>
        <v>0</v>
      </c>
      <c r="L396" s="71">
        <f>2000+'[1]táj.2'!L396</f>
        <v>2000</v>
      </c>
      <c r="M396" s="71">
        <f>0+'[1]táj.2'!M396</f>
        <v>0</v>
      </c>
      <c r="N396" s="71">
        <f>0+'[1]táj.2'!N396</f>
        <v>0</v>
      </c>
      <c r="O396" s="71">
        <f>0+'[1]táj.2'!O396</f>
        <v>0</v>
      </c>
      <c r="P396" s="71">
        <f>0+'[1]táj.2'!P396</f>
        <v>0</v>
      </c>
      <c r="Q396" s="11">
        <f t="shared" si="23"/>
        <v>2000</v>
      </c>
    </row>
    <row r="397" spans="1:17" ht="17.25" customHeight="1">
      <c r="A397" s="74"/>
      <c r="B397" s="74"/>
      <c r="C397" s="210" t="s">
        <v>1518</v>
      </c>
      <c r="D397" s="262" t="s">
        <v>50</v>
      </c>
      <c r="E397" s="382"/>
      <c r="F397" s="11">
        <v>154416</v>
      </c>
      <c r="G397" s="71">
        <f>0+'[1]táj.2'!G397</f>
        <v>0</v>
      </c>
      <c r="H397" s="71">
        <f>0+'[1]táj.2'!H397</f>
        <v>0</v>
      </c>
      <c r="I397" s="71">
        <f>0+'[1]táj.2'!I397</f>
        <v>0</v>
      </c>
      <c r="J397" s="71">
        <f>0+'[1]táj.2'!J397</f>
        <v>0</v>
      </c>
      <c r="K397" s="71">
        <f>0+'[1]táj.2'!K397</f>
        <v>0</v>
      </c>
      <c r="L397" s="71">
        <f>0+'[1]táj.2'!L397</f>
        <v>0</v>
      </c>
      <c r="M397" s="71">
        <f>5000+'[1]táj.2'!M397</f>
        <v>5000</v>
      </c>
      <c r="N397" s="71">
        <f>0+'[1]táj.2'!N397</f>
        <v>0</v>
      </c>
      <c r="O397" s="71">
        <f>0+'[1]táj.2'!O397</f>
        <v>0</v>
      </c>
      <c r="P397" s="71">
        <f>0+'[1]táj.2'!P397</f>
        <v>0</v>
      </c>
      <c r="Q397" s="11">
        <f t="shared" si="23"/>
        <v>5000</v>
      </c>
    </row>
    <row r="398" spans="1:17" ht="17.25" customHeight="1">
      <c r="A398" s="74"/>
      <c r="B398" s="74"/>
      <c r="C398" s="210" t="s">
        <v>49</v>
      </c>
      <c r="D398" s="262" t="s">
        <v>54</v>
      </c>
      <c r="E398" s="382"/>
      <c r="F398" s="11">
        <v>152414</v>
      </c>
      <c r="G398" s="71">
        <f>0+'[1]táj.2'!G398</f>
        <v>0</v>
      </c>
      <c r="H398" s="71">
        <f>0+'[1]táj.2'!H398</f>
        <v>0</v>
      </c>
      <c r="I398" s="71">
        <f>0+'[1]táj.2'!I398</f>
        <v>0</v>
      </c>
      <c r="J398" s="71">
        <f>0+'[1]táj.2'!J398</f>
        <v>0</v>
      </c>
      <c r="K398" s="71">
        <f>0+'[1]táj.2'!K398</f>
        <v>0</v>
      </c>
      <c r="L398" s="71">
        <f>2000+'[1]táj.2'!L398</f>
        <v>2000</v>
      </c>
      <c r="M398" s="71">
        <f>0+'[1]táj.2'!M398</f>
        <v>0</v>
      </c>
      <c r="N398" s="71">
        <f>0+'[1]táj.2'!N398</f>
        <v>0</v>
      </c>
      <c r="O398" s="71">
        <f>0+'[1]táj.2'!O398</f>
        <v>0</v>
      </c>
      <c r="P398" s="71">
        <f>0+'[1]táj.2'!P398</f>
        <v>0</v>
      </c>
      <c r="Q398" s="11">
        <f t="shared" si="23"/>
        <v>2000</v>
      </c>
    </row>
    <row r="399" spans="1:17" ht="17.25" customHeight="1">
      <c r="A399" s="74"/>
      <c r="B399" s="74"/>
      <c r="C399" s="210" t="s">
        <v>53</v>
      </c>
      <c r="D399" s="262" t="s">
        <v>58</v>
      </c>
      <c r="E399" s="382"/>
      <c r="F399" s="11">
        <v>154495</v>
      </c>
      <c r="G399" s="71">
        <f>0+'[1]táj.2'!G399</f>
        <v>0</v>
      </c>
      <c r="H399" s="71">
        <f>0+'[1]táj.2'!H399</f>
        <v>0</v>
      </c>
      <c r="I399" s="71">
        <f>0+'[1]táj.2'!I399</f>
        <v>0</v>
      </c>
      <c r="J399" s="71">
        <f>0+'[1]táj.2'!J399</f>
        <v>0</v>
      </c>
      <c r="K399" s="71">
        <f>0+'[1]táj.2'!K399</f>
        <v>0</v>
      </c>
      <c r="L399" s="71">
        <f>0+'[1]táj.2'!L399</f>
        <v>0</v>
      </c>
      <c r="M399" s="71">
        <f>10000+'[1]táj.2'!M399</f>
        <v>10000</v>
      </c>
      <c r="N399" s="71">
        <f>0+'[1]táj.2'!N399</f>
        <v>0</v>
      </c>
      <c r="O399" s="71">
        <f>0+'[1]táj.2'!O399</f>
        <v>0</v>
      </c>
      <c r="P399" s="71">
        <f>0+'[1]táj.2'!P399</f>
        <v>0</v>
      </c>
      <c r="Q399" s="11">
        <f t="shared" si="23"/>
        <v>10000</v>
      </c>
    </row>
    <row r="400" spans="1:17" ht="17.25" customHeight="1">
      <c r="A400" s="74"/>
      <c r="B400" s="74"/>
      <c r="C400" s="210" t="s">
        <v>55</v>
      </c>
      <c r="D400" s="262" t="s">
        <v>59</v>
      </c>
      <c r="E400" s="382"/>
      <c r="F400" s="11">
        <v>154496</v>
      </c>
      <c r="G400" s="71">
        <f>0+'[1]táj.2'!G400</f>
        <v>0</v>
      </c>
      <c r="H400" s="71">
        <f>0+'[1]táj.2'!H400</f>
        <v>0</v>
      </c>
      <c r="I400" s="71">
        <f>0+'[1]táj.2'!I400</f>
        <v>0</v>
      </c>
      <c r="J400" s="71">
        <f>0+'[1]táj.2'!J400</f>
        <v>0</v>
      </c>
      <c r="K400" s="71">
        <f>0+'[1]táj.2'!K400</f>
        <v>0</v>
      </c>
      <c r="L400" s="71">
        <f>0+'[1]táj.2'!L400</f>
        <v>0</v>
      </c>
      <c r="M400" s="71">
        <f>500+'[1]táj.2'!M400</f>
        <v>500</v>
      </c>
      <c r="N400" s="71">
        <f>0+'[1]táj.2'!N400</f>
        <v>0</v>
      </c>
      <c r="O400" s="71">
        <f>0+'[1]táj.2'!O400</f>
        <v>0</v>
      </c>
      <c r="P400" s="71">
        <f>0+'[1]táj.2'!P400</f>
        <v>0</v>
      </c>
      <c r="Q400" s="11">
        <f t="shared" si="23"/>
        <v>500</v>
      </c>
    </row>
    <row r="401" spans="1:17" ht="17.25" customHeight="1">
      <c r="A401" s="74"/>
      <c r="B401" s="74"/>
      <c r="C401" s="210" t="s">
        <v>56</v>
      </c>
      <c r="D401" s="262" t="s">
        <v>60</v>
      </c>
      <c r="E401" s="382"/>
      <c r="F401" s="11">
        <v>152415</v>
      </c>
      <c r="G401" s="71">
        <f>0+'[1]táj.2'!G401</f>
        <v>0</v>
      </c>
      <c r="H401" s="71">
        <f>0+'[1]táj.2'!H401</f>
        <v>0</v>
      </c>
      <c r="I401" s="71">
        <f>0+'[1]táj.2'!I401</f>
        <v>0</v>
      </c>
      <c r="J401" s="71">
        <f>0+'[1]táj.2'!J401</f>
        <v>0</v>
      </c>
      <c r="K401" s="71">
        <f>0+'[1]táj.2'!K401</f>
        <v>0</v>
      </c>
      <c r="L401" s="71">
        <f>5000+'[1]táj.2'!L401</f>
        <v>5000</v>
      </c>
      <c r="M401" s="71">
        <f>0+'[1]táj.2'!M401</f>
        <v>0</v>
      </c>
      <c r="N401" s="71">
        <f>0+'[1]táj.2'!N401</f>
        <v>0</v>
      </c>
      <c r="O401" s="71">
        <f>0+'[1]táj.2'!O401</f>
        <v>0</v>
      </c>
      <c r="P401" s="71">
        <f>0+'[1]táj.2'!P401</f>
        <v>0</v>
      </c>
      <c r="Q401" s="11">
        <f t="shared" si="23"/>
        <v>5000</v>
      </c>
    </row>
    <row r="402" spans="1:17" ht="17.25" customHeight="1">
      <c r="A402" s="74"/>
      <c r="B402" s="74"/>
      <c r="C402" s="210" t="s">
        <v>57</v>
      </c>
      <c r="D402" s="262" t="s">
        <v>87</v>
      </c>
      <c r="E402" s="382"/>
      <c r="F402" s="11">
        <v>154497</v>
      </c>
      <c r="G402" s="71">
        <f>0+'[1]táj.2'!G402</f>
        <v>0</v>
      </c>
      <c r="H402" s="71">
        <f>0+'[1]táj.2'!H402</f>
        <v>0</v>
      </c>
      <c r="I402" s="71">
        <f>0+'[1]táj.2'!I402</f>
        <v>0</v>
      </c>
      <c r="J402" s="71">
        <f>0+'[1]táj.2'!J402</f>
        <v>0</v>
      </c>
      <c r="K402" s="71">
        <f>0+'[1]táj.2'!K402</f>
        <v>0</v>
      </c>
      <c r="L402" s="71">
        <f>0+'[1]táj.2'!L402</f>
        <v>0</v>
      </c>
      <c r="M402" s="71">
        <f>2000+'[1]táj.2'!M402</f>
        <v>2000</v>
      </c>
      <c r="N402" s="71">
        <f>0+'[1]táj.2'!N402</f>
        <v>0</v>
      </c>
      <c r="O402" s="71">
        <f>0+'[1]táj.2'!O402</f>
        <v>0</v>
      </c>
      <c r="P402" s="71">
        <f>0+'[1]táj.2'!P402</f>
        <v>0</v>
      </c>
      <c r="Q402" s="11">
        <f t="shared" si="23"/>
        <v>2000</v>
      </c>
    </row>
    <row r="403" spans="1:17" ht="17.25" customHeight="1">
      <c r="A403" s="74"/>
      <c r="B403" s="74"/>
      <c r="C403" s="210" t="s">
        <v>86</v>
      </c>
      <c r="D403" s="262" t="s">
        <v>88</v>
      </c>
      <c r="E403" s="382"/>
      <c r="F403" s="11">
        <v>154498</v>
      </c>
      <c r="G403" s="71">
        <f>0+'[1]táj.2'!G403</f>
        <v>0</v>
      </c>
      <c r="H403" s="71">
        <f>0+'[1]táj.2'!H403</f>
        <v>0</v>
      </c>
      <c r="I403" s="71">
        <f>0+'[1]táj.2'!I403</f>
        <v>0</v>
      </c>
      <c r="J403" s="71">
        <f>0+'[1]táj.2'!J403</f>
        <v>0</v>
      </c>
      <c r="K403" s="71">
        <f>0+'[1]táj.2'!K403</f>
        <v>0</v>
      </c>
      <c r="L403" s="71">
        <f>0+'[1]táj.2'!L403</f>
        <v>0</v>
      </c>
      <c r="M403" s="71">
        <f>2000+'[1]táj.2'!M403</f>
        <v>2000</v>
      </c>
      <c r="N403" s="71">
        <f>0+'[1]táj.2'!N403</f>
        <v>0</v>
      </c>
      <c r="O403" s="71">
        <f>0+'[1]táj.2'!O403</f>
        <v>0</v>
      </c>
      <c r="P403" s="71">
        <f>0+'[1]táj.2'!P403</f>
        <v>0</v>
      </c>
      <c r="Q403" s="11">
        <f t="shared" si="23"/>
        <v>2000</v>
      </c>
    </row>
    <row r="404" spans="1:17" ht="17.25" customHeight="1">
      <c r="A404" s="74"/>
      <c r="B404" s="74"/>
      <c r="C404" s="210" t="s">
        <v>775</v>
      </c>
      <c r="D404" s="262" t="s">
        <v>776</v>
      </c>
      <c r="E404" s="382"/>
      <c r="F404" s="11">
        <v>154543</v>
      </c>
      <c r="G404" s="71">
        <f>0+'[1]táj.2'!G404</f>
        <v>0</v>
      </c>
      <c r="H404" s="71">
        <f>0+'[1]táj.2'!H404</f>
        <v>0</v>
      </c>
      <c r="I404" s="71">
        <f>0+'[1]táj.2'!I404</f>
        <v>0</v>
      </c>
      <c r="J404" s="71">
        <f>0+'[1]táj.2'!J404</f>
        <v>0</v>
      </c>
      <c r="K404" s="71">
        <f>0+'[1]táj.2'!K404</f>
        <v>0</v>
      </c>
      <c r="L404" s="71">
        <f>0+'[1]táj.2'!L404</f>
        <v>0</v>
      </c>
      <c r="M404" s="71">
        <f>0+'[1]táj.2'!M404</f>
        <v>5000</v>
      </c>
      <c r="N404" s="71">
        <f>0+'[1]táj.2'!N404</f>
        <v>0</v>
      </c>
      <c r="O404" s="71">
        <f>0+'[1]táj.2'!O404</f>
        <v>0</v>
      </c>
      <c r="P404" s="71">
        <f>0+'[1]táj.2'!P404</f>
        <v>0</v>
      </c>
      <c r="Q404" s="11">
        <f t="shared" si="23"/>
        <v>5000</v>
      </c>
    </row>
    <row r="405" spans="1:17" ht="15" customHeight="1">
      <c r="A405" s="74"/>
      <c r="B405" s="74"/>
      <c r="C405" s="215"/>
      <c r="D405" s="133" t="s">
        <v>686</v>
      </c>
      <c r="E405" s="382"/>
      <c r="F405" s="1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11"/>
    </row>
    <row r="406" spans="1:17" ht="15" customHeight="1">
      <c r="A406" s="74"/>
      <c r="B406" s="74"/>
      <c r="C406" s="210" t="s">
        <v>384</v>
      </c>
      <c r="D406" s="269" t="s">
        <v>813</v>
      </c>
      <c r="E406" s="382"/>
      <c r="F406" s="11">
        <v>152452</v>
      </c>
      <c r="G406" s="71">
        <f>0+'[1]táj.2'!G406</f>
        <v>0</v>
      </c>
      <c r="H406" s="71">
        <f>0+'[1]táj.2'!H406</f>
        <v>0</v>
      </c>
      <c r="I406" s="71">
        <f>0+'[1]táj.2'!I406</f>
        <v>0</v>
      </c>
      <c r="J406" s="71">
        <f>0+'[1]táj.2'!J406</f>
        <v>0</v>
      </c>
      <c r="K406" s="71">
        <f>0+'[1]táj.2'!K406</f>
        <v>0</v>
      </c>
      <c r="L406" s="71">
        <f>2019+'[1]táj.2'!L406</f>
        <v>2019</v>
      </c>
      <c r="M406" s="71">
        <f>0+'[1]táj.2'!M406</f>
        <v>0</v>
      </c>
      <c r="N406" s="71">
        <f>0+'[1]táj.2'!N406</f>
        <v>0</v>
      </c>
      <c r="O406" s="71">
        <f>0+'[1]táj.2'!O406</f>
        <v>0</v>
      </c>
      <c r="P406" s="71">
        <f>0+'[1]táj.2'!P406</f>
        <v>0</v>
      </c>
      <c r="Q406" s="11">
        <f aca="true" t="shared" si="24" ref="Q406:Q429">SUM(G406:P406)</f>
        <v>2019</v>
      </c>
    </row>
    <row r="407" spans="1:17" ht="15" customHeight="1">
      <c r="A407" s="74"/>
      <c r="B407" s="74"/>
      <c r="C407" s="210" t="s">
        <v>385</v>
      </c>
      <c r="D407" s="270" t="s">
        <v>719</v>
      </c>
      <c r="E407" s="382"/>
      <c r="F407" s="11">
        <v>154485</v>
      </c>
      <c r="G407" s="71">
        <f>0+'[1]táj.2'!G407</f>
        <v>0</v>
      </c>
      <c r="H407" s="71">
        <f>0+'[1]táj.2'!H407</f>
        <v>0</v>
      </c>
      <c r="I407" s="71">
        <f>0+'[1]táj.2'!I407</f>
        <v>0</v>
      </c>
      <c r="J407" s="71">
        <f>0+'[1]táj.2'!J407</f>
        <v>0</v>
      </c>
      <c r="K407" s="71">
        <f>0+'[1]táj.2'!K407</f>
        <v>0</v>
      </c>
      <c r="L407" s="71">
        <f>6437+'[1]táj.2'!L407</f>
        <v>6437</v>
      </c>
      <c r="M407" s="71">
        <f>0+'[1]táj.2'!M407</f>
        <v>0</v>
      </c>
      <c r="N407" s="71">
        <f>0+'[1]táj.2'!N407</f>
        <v>0</v>
      </c>
      <c r="O407" s="71">
        <f>0+'[1]táj.2'!O407</f>
        <v>0</v>
      </c>
      <c r="P407" s="71">
        <f>0+'[1]táj.2'!P407</f>
        <v>0</v>
      </c>
      <c r="Q407" s="11">
        <f t="shared" si="24"/>
        <v>6437</v>
      </c>
    </row>
    <row r="408" spans="1:17" ht="28.5" customHeight="1">
      <c r="A408" s="74"/>
      <c r="B408" s="74"/>
      <c r="C408" s="210" t="s">
        <v>386</v>
      </c>
      <c r="D408" s="729" t="s">
        <v>703</v>
      </c>
      <c r="E408" s="382"/>
      <c r="F408" s="11">
        <v>155425</v>
      </c>
      <c r="G408" s="71">
        <f>0+'[1]táj.2'!G408</f>
        <v>0</v>
      </c>
      <c r="H408" s="71">
        <f>0+'[1]táj.2'!H408</f>
        <v>0</v>
      </c>
      <c r="I408" s="71">
        <f>0+'[1]táj.2'!I408</f>
        <v>0</v>
      </c>
      <c r="J408" s="71">
        <f>0+'[1]táj.2'!J408</f>
        <v>0</v>
      </c>
      <c r="K408" s="71">
        <f>0+'[1]táj.2'!K408</f>
        <v>0</v>
      </c>
      <c r="L408" s="71">
        <f>0+'[1]táj.2'!L408</f>
        <v>0</v>
      </c>
      <c r="M408" s="71">
        <f>836+'[1]táj.2'!M408</f>
        <v>836</v>
      </c>
      <c r="N408" s="71">
        <f>0+'[1]táj.2'!N408</f>
        <v>0</v>
      </c>
      <c r="O408" s="71">
        <f>0+'[1]táj.2'!O408</f>
        <v>0</v>
      </c>
      <c r="P408" s="71">
        <f>0+'[1]táj.2'!P408</f>
        <v>0</v>
      </c>
      <c r="Q408" s="11">
        <f t="shared" si="24"/>
        <v>836</v>
      </c>
    </row>
    <row r="409" spans="1:17" ht="29.25" customHeight="1">
      <c r="A409" s="74"/>
      <c r="B409" s="74"/>
      <c r="C409" s="210" t="s">
        <v>720</v>
      </c>
      <c r="D409" s="730" t="s">
        <v>417</v>
      </c>
      <c r="E409" s="382"/>
      <c r="F409" s="11">
        <v>152405</v>
      </c>
      <c r="G409" s="71">
        <f>0+'[1]táj.2'!G409</f>
        <v>0</v>
      </c>
      <c r="H409" s="71">
        <f>0+'[1]táj.2'!H409</f>
        <v>0</v>
      </c>
      <c r="I409" s="71">
        <f>2000+'[1]táj.2'!I409</f>
        <v>2000</v>
      </c>
      <c r="J409" s="71">
        <f>0+'[1]táj.2'!J409</f>
        <v>0</v>
      </c>
      <c r="K409" s="71">
        <f>0+'[1]táj.2'!K409</f>
        <v>0</v>
      </c>
      <c r="L409" s="71">
        <f>7988+'[1]táj.2'!L409</f>
        <v>7988</v>
      </c>
      <c r="M409" s="71">
        <f>2406+'[1]táj.2'!M409</f>
        <v>2406</v>
      </c>
      <c r="N409" s="71">
        <f>0+'[1]táj.2'!N409</f>
        <v>0</v>
      </c>
      <c r="O409" s="71">
        <f>0+'[1]táj.2'!O409</f>
        <v>0</v>
      </c>
      <c r="P409" s="71">
        <f>0+'[1]táj.2'!P409</f>
        <v>0</v>
      </c>
      <c r="Q409" s="11">
        <f t="shared" si="24"/>
        <v>12394</v>
      </c>
    </row>
    <row r="410" spans="1:17" ht="18" customHeight="1">
      <c r="A410" s="74"/>
      <c r="B410" s="74"/>
      <c r="C410" s="210" t="s">
        <v>1520</v>
      </c>
      <c r="D410" s="731" t="s">
        <v>1130</v>
      </c>
      <c r="E410" s="382"/>
      <c r="F410" s="11">
        <v>154417</v>
      </c>
      <c r="G410" s="71">
        <f>0+'[1]táj.2'!G410</f>
        <v>0</v>
      </c>
      <c r="H410" s="71">
        <f>0+'[1]táj.2'!H410</f>
        <v>0</v>
      </c>
      <c r="I410" s="71">
        <f>0+'[1]táj.2'!I410</f>
        <v>0</v>
      </c>
      <c r="J410" s="71">
        <f>0+'[1]táj.2'!J410</f>
        <v>0</v>
      </c>
      <c r="K410" s="71">
        <f>0+'[1]táj.2'!K410</f>
        <v>0</v>
      </c>
      <c r="L410" s="71">
        <f>0+'[1]táj.2'!L410</f>
        <v>0</v>
      </c>
      <c r="M410" s="71">
        <f>1393+'[1]táj.2'!M410</f>
        <v>1393</v>
      </c>
      <c r="N410" s="71">
        <f>0+'[1]táj.2'!N410</f>
        <v>0</v>
      </c>
      <c r="O410" s="71">
        <f>0+'[1]táj.2'!O410</f>
        <v>0</v>
      </c>
      <c r="P410" s="71">
        <f>0+'[1]táj.2'!P410</f>
        <v>0</v>
      </c>
      <c r="Q410" s="11">
        <f t="shared" si="24"/>
        <v>1393</v>
      </c>
    </row>
    <row r="411" spans="1:17" ht="18" customHeight="1">
      <c r="A411" s="74"/>
      <c r="B411" s="74"/>
      <c r="C411" s="210" t="s">
        <v>721</v>
      </c>
      <c r="D411" s="114" t="s">
        <v>1135</v>
      </c>
      <c r="E411" s="382"/>
      <c r="F411" s="11">
        <v>154421</v>
      </c>
      <c r="G411" s="71">
        <f>0+'[1]táj.2'!G411</f>
        <v>0</v>
      </c>
      <c r="H411" s="71">
        <f>0+'[1]táj.2'!H411</f>
        <v>0</v>
      </c>
      <c r="I411" s="71">
        <f>0+'[1]táj.2'!I411</f>
        <v>0</v>
      </c>
      <c r="J411" s="71">
        <f>0+'[1]táj.2'!J411</f>
        <v>0</v>
      </c>
      <c r="K411" s="71">
        <f>0+'[1]táj.2'!K411</f>
        <v>0</v>
      </c>
      <c r="L411" s="71">
        <f>0+'[1]táj.2'!L411</f>
        <v>0</v>
      </c>
      <c r="M411" s="71">
        <f>4928+'[1]táj.2'!M411</f>
        <v>4928</v>
      </c>
      <c r="N411" s="71">
        <f>0+'[1]táj.2'!N411</f>
        <v>0</v>
      </c>
      <c r="O411" s="71">
        <f>0+'[1]táj.2'!O411</f>
        <v>0</v>
      </c>
      <c r="P411" s="71">
        <f>0+'[1]táj.2'!P411</f>
        <v>0</v>
      </c>
      <c r="Q411" s="11">
        <f t="shared" si="24"/>
        <v>4928</v>
      </c>
    </row>
    <row r="412" spans="1:17" ht="18" customHeight="1">
      <c r="A412" s="74"/>
      <c r="B412" s="74"/>
      <c r="C412" s="210" t="s">
        <v>722</v>
      </c>
      <c r="D412" s="59" t="s">
        <v>724</v>
      </c>
      <c r="F412" s="11">
        <v>154423</v>
      </c>
      <c r="G412" s="71">
        <f>0+'[1]táj.2'!G412</f>
        <v>0</v>
      </c>
      <c r="H412" s="71">
        <f>0+'[1]táj.2'!H412</f>
        <v>0</v>
      </c>
      <c r="I412" s="71">
        <f>0+'[1]táj.2'!I412</f>
        <v>0</v>
      </c>
      <c r="J412" s="71">
        <f>0+'[1]táj.2'!J412</f>
        <v>0</v>
      </c>
      <c r="K412" s="71">
        <f>0+'[1]táj.2'!K412</f>
        <v>0</v>
      </c>
      <c r="L412" s="71">
        <f>0+'[1]táj.2'!L412</f>
        <v>0</v>
      </c>
      <c r="M412" s="71">
        <f>17168+'[1]táj.2'!M412</f>
        <v>17168</v>
      </c>
      <c r="N412" s="71">
        <f>0+'[1]táj.2'!N412</f>
        <v>0</v>
      </c>
      <c r="O412" s="71">
        <f>0+'[1]táj.2'!O412</f>
        <v>0</v>
      </c>
      <c r="P412" s="71">
        <f>0+'[1]táj.2'!P412</f>
        <v>0</v>
      </c>
      <c r="Q412" s="11">
        <f t="shared" si="24"/>
        <v>17168</v>
      </c>
    </row>
    <row r="413" spans="1:17" ht="18" customHeight="1">
      <c r="A413" s="74"/>
      <c r="B413" s="74"/>
      <c r="C413" s="210" t="s">
        <v>310</v>
      </c>
      <c r="D413" s="629" t="s">
        <v>127</v>
      </c>
      <c r="E413" s="382"/>
      <c r="F413" s="11">
        <v>154425</v>
      </c>
      <c r="G413" s="71">
        <f>0+'[1]táj.2'!G413</f>
        <v>0</v>
      </c>
      <c r="H413" s="71">
        <f>0+'[1]táj.2'!H413</f>
        <v>0</v>
      </c>
      <c r="I413" s="71">
        <f>0+'[1]táj.2'!I413</f>
        <v>0</v>
      </c>
      <c r="J413" s="71">
        <f>0+'[1]táj.2'!J413</f>
        <v>0</v>
      </c>
      <c r="K413" s="71">
        <f>0+'[1]táj.2'!K413</f>
        <v>0</v>
      </c>
      <c r="L413" s="71">
        <f>0+'[1]táj.2'!L413</f>
        <v>0</v>
      </c>
      <c r="M413" s="71">
        <f>3199+'[1]táj.2'!M413</f>
        <v>3199</v>
      </c>
      <c r="N413" s="71">
        <f>0+'[1]táj.2'!N413</f>
        <v>0</v>
      </c>
      <c r="O413" s="71">
        <f>0+'[1]táj.2'!O413</f>
        <v>0</v>
      </c>
      <c r="P413" s="71">
        <f>0+'[1]táj.2'!P413</f>
        <v>0</v>
      </c>
      <c r="Q413" s="11">
        <f t="shared" si="24"/>
        <v>3199</v>
      </c>
    </row>
    <row r="414" spans="1:17" ht="18" customHeight="1">
      <c r="A414" s="74"/>
      <c r="B414" s="74"/>
      <c r="C414" s="210" t="s">
        <v>311</v>
      </c>
      <c r="D414" s="629" t="s">
        <v>135</v>
      </c>
      <c r="E414" s="382"/>
      <c r="F414" s="11">
        <v>152474</v>
      </c>
      <c r="G414" s="71">
        <f>0+'[1]táj.2'!G414</f>
        <v>0</v>
      </c>
      <c r="H414" s="71">
        <f>0+'[1]táj.2'!H414</f>
        <v>0</v>
      </c>
      <c r="I414" s="71">
        <f>0+'[1]táj.2'!I414</f>
        <v>0</v>
      </c>
      <c r="J414" s="71">
        <f>0+'[1]táj.2'!J414</f>
        <v>0</v>
      </c>
      <c r="K414" s="71">
        <f>0+'[1]táj.2'!K414</f>
        <v>0</v>
      </c>
      <c r="L414" s="71">
        <f>2000+'[1]táj.2'!L414</f>
        <v>2000</v>
      </c>
      <c r="M414" s="71">
        <f>0+'[1]táj.2'!M414</f>
        <v>0</v>
      </c>
      <c r="N414" s="71">
        <f>0+'[1]táj.2'!N414</f>
        <v>0</v>
      </c>
      <c r="O414" s="71">
        <f>0+'[1]táj.2'!O414</f>
        <v>0</v>
      </c>
      <c r="P414" s="71">
        <f>0+'[1]táj.2'!P414</f>
        <v>0</v>
      </c>
      <c r="Q414" s="11">
        <f t="shared" si="24"/>
        <v>2000</v>
      </c>
    </row>
    <row r="415" spans="1:17" ht="29.25" customHeight="1">
      <c r="A415" s="74"/>
      <c r="B415" s="74"/>
      <c r="C415" s="210" t="s">
        <v>1521</v>
      </c>
      <c r="D415" s="95" t="s">
        <v>1525</v>
      </c>
      <c r="E415" s="382"/>
      <c r="F415" s="11">
        <v>154401</v>
      </c>
      <c r="G415" s="71">
        <f>0+'[1]táj.2'!G415</f>
        <v>0</v>
      </c>
      <c r="H415" s="71">
        <f>0+'[1]táj.2'!H415</f>
        <v>0</v>
      </c>
      <c r="I415" s="71">
        <f>0+'[1]táj.2'!I415</f>
        <v>0</v>
      </c>
      <c r="J415" s="71">
        <f>0+'[1]táj.2'!J415</f>
        <v>0</v>
      </c>
      <c r="K415" s="71">
        <f>0+'[1]táj.2'!K415</f>
        <v>0</v>
      </c>
      <c r="L415" s="71">
        <f>0+'[1]táj.2'!L415</f>
        <v>0</v>
      </c>
      <c r="M415" s="71">
        <f>200+'[1]táj.2'!M415</f>
        <v>200</v>
      </c>
      <c r="N415" s="71">
        <f>0+'[1]táj.2'!N415</f>
        <v>0</v>
      </c>
      <c r="O415" s="71">
        <f>0+'[1]táj.2'!O415</f>
        <v>0</v>
      </c>
      <c r="P415" s="71">
        <f>0+'[1]táj.2'!P415</f>
        <v>0</v>
      </c>
      <c r="Q415" s="11">
        <f t="shared" si="24"/>
        <v>200</v>
      </c>
    </row>
    <row r="416" spans="1:17" ht="18" customHeight="1">
      <c r="A416" s="74"/>
      <c r="B416" s="74"/>
      <c r="C416" s="210" t="s">
        <v>1028</v>
      </c>
      <c r="D416" s="133" t="s">
        <v>137</v>
      </c>
      <c r="E416" s="725"/>
      <c r="F416" s="11">
        <v>154449</v>
      </c>
      <c r="G416" s="71">
        <f>0+'[1]táj.2'!G416</f>
        <v>0</v>
      </c>
      <c r="H416" s="71">
        <f>0+'[1]táj.2'!H416</f>
        <v>0</v>
      </c>
      <c r="I416" s="71">
        <f>0+'[1]táj.2'!I416</f>
        <v>0</v>
      </c>
      <c r="J416" s="71">
        <f>0+'[1]táj.2'!J416</f>
        <v>0</v>
      </c>
      <c r="K416" s="71">
        <f>0+'[1]táj.2'!K416</f>
        <v>0</v>
      </c>
      <c r="L416" s="71">
        <f>450+'[1]táj.2'!L416</f>
        <v>450</v>
      </c>
      <c r="M416" s="71">
        <f>0+'[1]táj.2'!M416</f>
        <v>0</v>
      </c>
      <c r="N416" s="71">
        <f>0+'[1]táj.2'!N416</f>
        <v>0</v>
      </c>
      <c r="O416" s="71">
        <f>0+'[1]táj.2'!O416</f>
        <v>0</v>
      </c>
      <c r="P416" s="71">
        <f>0+'[1]táj.2'!P416</f>
        <v>0</v>
      </c>
      <c r="Q416" s="11">
        <f t="shared" si="24"/>
        <v>450</v>
      </c>
    </row>
    <row r="417" spans="1:17" ht="18" customHeight="1">
      <c r="A417" s="74"/>
      <c r="B417" s="74"/>
      <c r="C417" s="210" t="s">
        <v>1522</v>
      </c>
      <c r="D417" s="133" t="s">
        <v>138</v>
      </c>
      <c r="E417" s="725"/>
      <c r="F417" s="11">
        <v>154432</v>
      </c>
      <c r="G417" s="71">
        <f>0+'[1]táj.2'!G417</f>
        <v>0</v>
      </c>
      <c r="H417" s="71">
        <f>0+'[1]táj.2'!H417</f>
        <v>0</v>
      </c>
      <c r="I417" s="71">
        <f>0+'[1]táj.2'!I417</f>
        <v>0</v>
      </c>
      <c r="J417" s="71">
        <f>0+'[1]táj.2'!J417</f>
        <v>0</v>
      </c>
      <c r="K417" s="71">
        <f>0+'[1]táj.2'!K417</f>
        <v>0</v>
      </c>
      <c r="L417" s="71">
        <f>0+'[1]táj.2'!L417</f>
        <v>0</v>
      </c>
      <c r="M417" s="71">
        <f>500+'[1]táj.2'!M417</f>
        <v>500</v>
      </c>
      <c r="N417" s="71">
        <f>0+'[1]táj.2'!N417</f>
        <v>0</v>
      </c>
      <c r="O417" s="71">
        <f>0+'[1]táj.2'!O417</f>
        <v>0</v>
      </c>
      <c r="P417" s="71">
        <f>0+'[1]táj.2'!P417</f>
        <v>0</v>
      </c>
      <c r="Q417" s="11">
        <f t="shared" si="24"/>
        <v>500</v>
      </c>
    </row>
    <row r="418" spans="1:17" ht="33.75" customHeight="1">
      <c r="A418" s="74"/>
      <c r="B418" s="74"/>
      <c r="C418" s="210" t="s">
        <v>468</v>
      </c>
      <c r="D418" s="709" t="s">
        <v>993</v>
      </c>
      <c r="E418" s="725"/>
      <c r="F418" s="11">
        <v>154434</v>
      </c>
      <c r="G418" s="71">
        <f>0+'[1]táj.2'!G418</f>
        <v>0</v>
      </c>
      <c r="H418" s="71">
        <f>0+'[1]táj.2'!H418</f>
        <v>0</v>
      </c>
      <c r="I418" s="71">
        <f>0+'[1]táj.2'!I418</f>
        <v>0</v>
      </c>
      <c r="J418" s="71">
        <f>0+'[1]táj.2'!J418</f>
        <v>0</v>
      </c>
      <c r="K418" s="71">
        <f>0+'[1]táj.2'!K418</f>
        <v>0</v>
      </c>
      <c r="L418" s="71">
        <f>0+'[1]táj.2'!L418</f>
        <v>0</v>
      </c>
      <c r="M418" s="71">
        <f>2991+'[1]táj.2'!M418</f>
        <v>2991</v>
      </c>
      <c r="N418" s="71">
        <f>0+'[1]táj.2'!N418</f>
        <v>0</v>
      </c>
      <c r="O418" s="71">
        <f>0+'[1]táj.2'!O418</f>
        <v>0</v>
      </c>
      <c r="P418" s="71">
        <f>0+'[1]táj.2'!P418</f>
        <v>0</v>
      </c>
      <c r="Q418" s="11">
        <f t="shared" si="24"/>
        <v>2991</v>
      </c>
    </row>
    <row r="419" spans="1:17" ht="33.75" customHeight="1">
      <c r="A419" s="74"/>
      <c r="B419" s="74"/>
      <c r="C419" s="210" t="s">
        <v>469</v>
      </c>
      <c r="D419" s="709" t="s">
        <v>994</v>
      </c>
      <c r="E419" s="725"/>
      <c r="F419" s="11">
        <v>154435</v>
      </c>
      <c r="G419" s="71">
        <f>0+'[1]táj.2'!G419</f>
        <v>0</v>
      </c>
      <c r="H419" s="71">
        <f>0+'[1]táj.2'!H419</f>
        <v>0</v>
      </c>
      <c r="I419" s="71">
        <f>0+'[1]táj.2'!I419</f>
        <v>0</v>
      </c>
      <c r="J419" s="71">
        <f>0+'[1]táj.2'!J419</f>
        <v>0</v>
      </c>
      <c r="K419" s="71">
        <f>0+'[1]táj.2'!K419</f>
        <v>0</v>
      </c>
      <c r="L419" s="71">
        <f>0+'[1]táj.2'!L419</f>
        <v>0</v>
      </c>
      <c r="M419" s="71">
        <f>984+'[1]táj.2'!M419</f>
        <v>984</v>
      </c>
      <c r="N419" s="71">
        <f>0+'[1]táj.2'!N419</f>
        <v>0</v>
      </c>
      <c r="O419" s="71">
        <f>0+'[1]táj.2'!O419</f>
        <v>0</v>
      </c>
      <c r="P419" s="71">
        <f>0+'[1]táj.2'!P419</f>
        <v>0</v>
      </c>
      <c r="Q419" s="11">
        <f t="shared" si="24"/>
        <v>984</v>
      </c>
    </row>
    <row r="420" spans="1:17" ht="30" customHeight="1">
      <c r="A420" s="74"/>
      <c r="B420" s="74"/>
      <c r="C420" s="210" t="s">
        <v>470</v>
      </c>
      <c r="D420" s="709" t="s">
        <v>995</v>
      </c>
      <c r="E420" s="725"/>
      <c r="F420" s="11">
        <v>154452</v>
      </c>
      <c r="G420" s="71">
        <f>0+'[1]táj.2'!G420</f>
        <v>0</v>
      </c>
      <c r="H420" s="71">
        <f>0+'[1]táj.2'!H420</f>
        <v>0</v>
      </c>
      <c r="I420" s="71">
        <f>0+'[1]táj.2'!I420</f>
        <v>0</v>
      </c>
      <c r="J420" s="71">
        <f>0+'[1]táj.2'!J420</f>
        <v>0</v>
      </c>
      <c r="K420" s="71">
        <f>0+'[1]táj.2'!K420</f>
        <v>0</v>
      </c>
      <c r="L420" s="71">
        <f>0+'[1]táj.2'!L420</f>
        <v>0</v>
      </c>
      <c r="M420" s="71">
        <f>1769+'[1]táj.2'!M420</f>
        <v>1269</v>
      </c>
      <c r="N420" s="71">
        <f>0+'[1]táj.2'!N420</f>
        <v>0</v>
      </c>
      <c r="O420" s="71">
        <f>0+'[1]táj.2'!O420</f>
        <v>0</v>
      </c>
      <c r="P420" s="71">
        <f>0+'[1]táj.2'!P420</f>
        <v>0</v>
      </c>
      <c r="Q420" s="11">
        <f t="shared" si="24"/>
        <v>1269</v>
      </c>
    </row>
    <row r="421" spans="1:17" ht="15.75" customHeight="1">
      <c r="A421" s="74"/>
      <c r="B421" s="74"/>
      <c r="C421" s="210" t="s">
        <v>471</v>
      </c>
      <c r="D421" s="133" t="s">
        <v>999</v>
      </c>
      <c r="E421" s="725"/>
      <c r="F421" s="11">
        <v>154409</v>
      </c>
      <c r="G421" s="71">
        <f>0+'[1]táj.2'!G421</f>
        <v>0</v>
      </c>
      <c r="H421" s="71">
        <f>0+'[1]táj.2'!H421</f>
        <v>0</v>
      </c>
      <c r="I421" s="71">
        <f>0+'[1]táj.2'!I421</f>
        <v>0</v>
      </c>
      <c r="J421" s="71">
        <f>0+'[1]táj.2'!J421</f>
        <v>0</v>
      </c>
      <c r="K421" s="71">
        <f>0+'[1]táj.2'!K421</f>
        <v>0</v>
      </c>
      <c r="L421" s="71">
        <f>0+'[1]táj.2'!L421</f>
        <v>0</v>
      </c>
      <c r="M421" s="71">
        <f>584+'[1]táj.2'!M421</f>
        <v>584</v>
      </c>
      <c r="N421" s="71">
        <f>0+'[1]táj.2'!N421</f>
        <v>0</v>
      </c>
      <c r="O421" s="71">
        <f>0+'[1]táj.2'!O421</f>
        <v>0</v>
      </c>
      <c r="P421" s="71">
        <f>0+'[1]táj.2'!P421</f>
        <v>0</v>
      </c>
      <c r="Q421" s="11">
        <f t="shared" si="24"/>
        <v>584</v>
      </c>
    </row>
    <row r="422" spans="1:17" ht="15" customHeight="1">
      <c r="A422" s="74"/>
      <c r="B422" s="74"/>
      <c r="C422" s="210" t="s">
        <v>472</v>
      </c>
      <c r="D422" s="133" t="s">
        <v>1000</v>
      </c>
      <c r="E422" s="725"/>
      <c r="F422" s="11">
        <v>154410</v>
      </c>
      <c r="G422" s="71">
        <f>0+'[1]táj.2'!G422</f>
        <v>0</v>
      </c>
      <c r="H422" s="71">
        <f>0+'[1]táj.2'!H422</f>
        <v>0</v>
      </c>
      <c r="I422" s="71">
        <f>0+'[1]táj.2'!I422</f>
        <v>0</v>
      </c>
      <c r="J422" s="71">
        <f>0+'[1]táj.2'!J422</f>
        <v>0</v>
      </c>
      <c r="K422" s="71">
        <f>0+'[1]táj.2'!K422</f>
        <v>0</v>
      </c>
      <c r="L422" s="71">
        <f>0+'[1]táj.2'!L422</f>
        <v>0</v>
      </c>
      <c r="M422" s="71">
        <f>5000+'[1]táj.2'!M422</f>
        <v>0</v>
      </c>
      <c r="N422" s="71">
        <f>0+'[1]táj.2'!N422</f>
        <v>0</v>
      </c>
      <c r="O422" s="71">
        <f>0+'[1]táj.2'!O422</f>
        <v>0</v>
      </c>
      <c r="P422" s="71">
        <f>0+'[1]táj.2'!P422</f>
        <v>0</v>
      </c>
      <c r="Q422" s="11">
        <f t="shared" si="24"/>
        <v>0</v>
      </c>
    </row>
    <row r="423" spans="1:17" ht="16.5" customHeight="1">
      <c r="A423" s="74"/>
      <c r="B423" s="74"/>
      <c r="C423" s="210" t="s">
        <v>473</v>
      </c>
      <c r="D423" s="629" t="s">
        <v>1468</v>
      </c>
      <c r="E423" s="725"/>
      <c r="F423" s="11">
        <v>154411</v>
      </c>
      <c r="G423" s="71">
        <f>0+'[1]táj.2'!G423</f>
        <v>0</v>
      </c>
      <c r="H423" s="71">
        <f>0+'[1]táj.2'!H423</f>
        <v>0</v>
      </c>
      <c r="I423" s="71">
        <f>0+'[1]táj.2'!I423</f>
        <v>0</v>
      </c>
      <c r="J423" s="71">
        <f>0+'[1]táj.2'!J423</f>
        <v>0</v>
      </c>
      <c r="K423" s="71">
        <f>0+'[1]táj.2'!K423</f>
        <v>0</v>
      </c>
      <c r="L423" s="71">
        <f>0+'[1]táj.2'!L423</f>
        <v>0</v>
      </c>
      <c r="M423" s="71">
        <f>11000+'[1]táj.2'!M423</f>
        <v>10749</v>
      </c>
      <c r="N423" s="71">
        <f>0+'[1]táj.2'!N423</f>
        <v>0</v>
      </c>
      <c r="O423" s="71">
        <f>0+'[1]táj.2'!O423</f>
        <v>0</v>
      </c>
      <c r="P423" s="71">
        <f>0+'[1]táj.2'!P423</f>
        <v>0</v>
      </c>
      <c r="Q423" s="11">
        <f t="shared" si="24"/>
        <v>10749</v>
      </c>
    </row>
    <row r="424" spans="1:17" ht="30" customHeight="1">
      <c r="A424" s="74"/>
      <c r="B424" s="74"/>
      <c r="C424" s="210" t="s">
        <v>474</v>
      </c>
      <c r="D424" s="629" t="s">
        <v>1002</v>
      </c>
      <c r="E424" s="725"/>
      <c r="F424" s="11">
        <v>154413</v>
      </c>
      <c r="G424" s="71">
        <f>0+'[1]táj.2'!G424</f>
        <v>0</v>
      </c>
      <c r="H424" s="71">
        <f>0+'[1]táj.2'!H424</f>
        <v>0</v>
      </c>
      <c r="I424" s="71">
        <f>0+'[1]táj.2'!I424</f>
        <v>0</v>
      </c>
      <c r="J424" s="71">
        <f>0+'[1]táj.2'!J424</f>
        <v>0</v>
      </c>
      <c r="K424" s="71">
        <f>0+'[1]táj.2'!K424</f>
        <v>0</v>
      </c>
      <c r="L424" s="71">
        <f>0+'[1]táj.2'!L424</f>
        <v>0</v>
      </c>
      <c r="M424" s="71">
        <f>1000+'[1]táj.2'!M424</f>
        <v>1000</v>
      </c>
      <c r="N424" s="71">
        <f>0+'[1]táj.2'!N424</f>
        <v>0</v>
      </c>
      <c r="O424" s="71">
        <f>0+'[1]táj.2'!O424</f>
        <v>0</v>
      </c>
      <c r="P424" s="71">
        <f>0+'[1]táj.2'!P424</f>
        <v>0</v>
      </c>
      <c r="Q424" s="11">
        <f t="shared" si="24"/>
        <v>1000</v>
      </c>
    </row>
    <row r="425" spans="1:17" ht="18" customHeight="1">
      <c r="A425" s="74"/>
      <c r="B425" s="74"/>
      <c r="C425" s="210" t="s">
        <v>475</v>
      </c>
      <c r="D425" s="732" t="s">
        <v>1004</v>
      </c>
      <c r="E425" s="382"/>
      <c r="F425" s="11">
        <v>152480</v>
      </c>
      <c r="G425" s="71">
        <f>0+'[1]táj.2'!G425</f>
        <v>0</v>
      </c>
      <c r="H425" s="71">
        <f>0+'[1]táj.2'!H425</f>
        <v>0</v>
      </c>
      <c r="I425" s="71">
        <f>0+'[1]táj.2'!I425</f>
        <v>0</v>
      </c>
      <c r="J425" s="71">
        <f>0+'[1]táj.2'!J425</f>
        <v>0</v>
      </c>
      <c r="K425" s="71">
        <f>0+'[1]táj.2'!K425</f>
        <v>0</v>
      </c>
      <c r="L425" s="71">
        <f>1000+'[1]táj.2'!L425</f>
        <v>1000</v>
      </c>
      <c r="M425" s="71">
        <f>0+'[1]táj.2'!M425</f>
        <v>0</v>
      </c>
      <c r="N425" s="71">
        <f>0+'[1]táj.2'!N425</f>
        <v>0</v>
      </c>
      <c r="O425" s="71">
        <f>0+'[1]táj.2'!O425</f>
        <v>0</v>
      </c>
      <c r="P425" s="71">
        <f>0+'[1]táj.2'!P425</f>
        <v>0</v>
      </c>
      <c r="Q425" s="11">
        <f t="shared" si="24"/>
        <v>1000</v>
      </c>
    </row>
    <row r="426" spans="1:17" ht="16.5" customHeight="1">
      <c r="A426" s="74"/>
      <c r="B426" s="74"/>
      <c r="C426" s="210" t="s">
        <v>476</v>
      </c>
      <c r="D426" s="629" t="s">
        <v>1003</v>
      </c>
      <c r="E426" s="382"/>
      <c r="F426" s="11">
        <v>152481</v>
      </c>
      <c r="G426" s="71">
        <f>0+'[1]táj.2'!G426</f>
        <v>0</v>
      </c>
      <c r="H426" s="71">
        <f>0+'[1]táj.2'!H426</f>
        <v>0</v>
      </c>
      <c r="I426" s="71">
        <f>0+'[1]táj.2'!I426</f>
        <v>0</v>
      </c>
      <c r="J426" s="71">
        <f>0+'[1]táj.2'!J426</f>
        <v>0</v>
      </c>
      <c r="K426" s="71">
        <f>0+'[1]táj.2'!K426</f>
        <v>0</v>
      </c>
      <c r="L426" s="71">
        <f>2249+'[1]táj.2'!L426</f>
        <v>2249</v>
      </c>
      <c r="M426" s="71">
        <f>0+'[1]táj.2'!M426</f>
        <v>0</v>
      </c>
      <c r="N426" s="71">
        <f>0+'[1]táj.2'!N426</f>
        <v>0</v>
      </c>
      <c r="O426" s="71">
        <f>0+'[1]táj.2'!O426</f>
        <v>0</v>
      </c>
      <c r="P426" s="71">
        <f>0+'[1]táj.2'!P426</f>
        <v>0</v>
      </c>
      <c r="Q426" s="11">
        <f t="shared" si="24"/>
        <v>2249</v>
      </c>
    </row>
    <row r="427" spans="1:17" ht="30" customHeight="1">
      <c r="A427" s="74"/>
      <c r="B427" s="74"/>
      <c r="C427" s="210" t="s">
        <v>477</v>
      </c>
      <c r="D427" s="577" t="s">
        <v>478</v>
      </c>
      <c r="E427" s="733"/>
      <c r="F427" s="11">
        <v>152486</v>
      </c>
      <c r="G427" s="71">
        <f>0+'[1]táj.2'!G427</f>
        <v>0</v>
      </c>
      <c r="H427" s="71">
        <f>0+'[1]táj.2'!H427</f>
        <v>0</v>
      </c>
      <c r="I427" s="71">
        <f>0+'[1]táj.2'!I427</f>
        <v>0</v>
      </c>
      <c r="J427" s="71">
        <f>0+'[1]táj.2'!J427</f>
        <v>0</v>
      </c>
      <c r="K427" s="71">
        <f>0+'[1]táj.2'!K427</f>
        <v>0</v>
      </c>
      <c r="L427" s="71">
        <f>430+'[1]táj.2'!L427</f>
        <v>430</v>
      </c>
      <c r="M427" s="71">
        <f>0+'[1]táj.2'!M427</f>
        <v>0</v>
      </c>
      <c r="N427" s="71">
        <f>0+'[1]táj.2'!N427</f>
        <v>0</v>
      </c>
      <c r="O427" s="71">
        <f>0+'[1]táj.2'!O427</f>
        <v>0</v>
      </c>
      <c r="P427" s="71">
        <f>0+'[1]táj.2'!P427</f>
        <v>0</v>
      </c>
      <c r="Q427" s="11">
        <f t="shared" si="24"/>
        <v>430</v>
      </c>
    </row>
    <row r="428" spans="1:17" ht="30" customHeight="1">
      <c r="A428" s="74"/>
      <c r="B428" s="74"/>
      <c r="C428" s="70" t="s">
        <v>777</v>
      </c>
      <c r="D428" s="709" t="s">
        <v>778</v>
      </c>
      <c r="E428" s="734"/>
      <c r="F428" s="11">
        <v>152477</v>
      </c>
      <c r="G428" s="71">
        <f>0+'[1]táj.2'!G428</f>
        <v>0</v>
      </c>
      <c r="H428" s="71">
        <f>0+'[1]táj.2'!H428</f>
        <v>0</v>
      </c>
      <c r="I428" s="71">
        <f>0+'[1]táj.2'!I428</f>
        <v>0</v>
      </c>
      <c r="J428" s="71">
        <f>0+'[1]táj.2'!J428</f>
        <v>0</v>
      </c>
      <c r="K428" s="71">
        <f>0+'[1]táj.2'!K428</f>
        <v>0</v>
      </c>
      <c r="L428" s="71">
        <f>0+'[1]táj.2'!L428</f>
        <v>500</v>
      </c>
      <c r="M428" s="71">
        <f>0+'[1]táj.2'!M428</f>
        <v>0</v>
      </c>
      <c r="N428" s="71">
        <f>0+'[1]táj.2'!N428</f>
        <v>0</v>
      </c>
      <c r="O428" s="71">
        <f>0+'[1]táj.2'!O428</f>
        <v>0</v>
      </c>
      <c r="P428" s="71">
        <f>0+'[1]táj.2'!P428</f>
        <v>0</v>
      </c>
      <c r="Q428" s="11">
        <f t="shared" si="24"/>
        <v>500</v>
      </c>
    </row>
    <row r="429" spans="1:17" ht="30" customHeight="1">
      <c r="A429" s="74"/>
      <c r="B429" s="74"/>
      <c r="C429" s="70" t="s">
        <v>779</v>
      </c>
      <c r="D429" s="577" t="s">
        <v>780</v>
      </c>
      <c r="E429" s="735"/>
      <c r="F429" s="11">
        <v>152484</v>
      </c>
      <c r="G429" s="71">
        <f>0+'[1]táj.2'!G429</f>
        <v>0</v>
      </c>
      <c r="H429" s="71">
        <f>0+'[1]táj.2'!H429</f>
        <v>0</v>
      </c>
      <c r="I429" s="71">
        <f>0+'[1]táj.2'!I429</f>
        <v>0</v>
      </c>
      <c r="J429" s="71">
        <f>0+'[1]táj.2'!J429</f>
        <v>0</v>
      </c>
      <c r="K429" s="71">
        <f>0+'[1]táj.2'!K429</f>
        <v>0</v>
      </c>
      <c r="L429" s="71">
        <f>0+'[1]táj.2'!L429</f>
        <v>5039</v>
      </c>
      <c r="M429" s="71">
        <f>0+'[1]táj.2'!M429</f>
        <v>0</v>
      </c>
      <c r="N429" s="71">
        <f>0+'[1]táj.2'!N429</f>
        <v>0</v>
      </c>
      <c r="O429" s="71">
        <f>0+'[1]táj.2'!O429</f>
        <v>0</v>
      </c>
      <c r="P429" s="71">
        <f>0+'[1]táj.2'!P429</f>
        <v>0</v>
      </c>
      <c r="Q429" s="11">
        <f t="shared" si="24"/>
        <v>5039</v>
      </c>
    </row>
    <row r="430" spans="1:17" ht="15.75" customHeight="1">
      <c r="A430" s="74"/>
      <c r="B430" s="74"/>
      <c r="C430" s="305" t="s">
        <v>554</v>
      </c>
      <c r="D430" s="736" t="s">
        <v>855</v>
      </c>
      <c r="E430" s="386"/>
      <c r="F430" s="12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11"/>
    </row>
    <row r="431" spans="1:17" ht="18.75" customHeight="1">
      <c r="A431" s="74"/>
      <c r="B431" s="74"/>
      <c r="C431" s="127" t="s">
        <v>479</v>
      </c>
      <c r="D431" s="629" t="s">
        <v>1282</v>
      </c>
      <c r="F431" s="11">
        <v>152509</v>
      </c>
      <c r="G431" s="71">
        <f>0+'[1]táj.2'!G431</f>
        <v>0</v>
      </c>
      <c r="H431" s="71">
        <f>0+'[1]táj.2'!H431</f>
        <v>0</v>
      </c>
      <c r="I431" s="71">
        <f>0+'[1]táj.2'!I431</f>
        <v>0</v>
      </c>
      <c r="J431" s="71">
        <f>0+'[1]táj.2'!J431</f>
        <v>0</v>
      </c>
      <c r="K431" s="71">
        <f>0+'[1]táj.2'!K431</f>
        <v>0</v>
      </c>
      <c r="L431" s="71">
        <f>400+'[1]táj.2'!L431</f>
        <v>400</v>
      </c>
      <c r="M431" s="71">
        <f>0+'[1]táj.2'!M431</f>
        <v>0</v>
      </c>
      <c r="N431" s="71">
        <f>0+'[1]táj.2'!N431</f>
        <v>0</v>
      </c>
      <c r="O431" s="71">
        <f>0+'[1]táj.2'!O431</f>
        <v>0</v>
      </c>
      <c r="P431" s="71">
        <f>0+'[1]táj.2'!P431</f>
        <v>0</v>
      </c>
      <c r="Q431" s="11">
        <f aca="true" t="shared" si="25" ref="Q431:Q440">SUM(G431:P431)</f>
        <v>400</v>
      </c>
    </row>
    <row r="432" spans="1:17" ht="18" customHeight="1">
      <c r="A432" s="74"/>
      <c r="B432" s="74"/>
      <c r="C432" s="127" t="s">
        <v>1083</v>
      </c>
      <c r="D432" s="629" t="s">
        <v>1295</v>
      </c>
      <c r="E432" s="725"/>
      <c r="F432" s="11">
        <v>154537</v>
      </c>
      <c r="G432" s="71">
        <f>0+'[1]táj.2'!G432</f>
        <v>0</v>
      </c>
      <c r="H432" s="71">
        <f>0+'[1]táj.2'!H432</f>
        <v>0</v>
      </c>
      <c r="I432" s="71">
        <f>0+'[1]táj.2'!I432</f>
        <v>0</v>
      </c>
      <c r="J432" s="71">
        <f>0+'[1]táj.2'!J432</f>
        <v>0</v>
      </c>
      <c r="K432" s="71">
        <f>0+'[1]táj.2'!K432</f>
        <v>0</v>
      </c>
      <c r="L432" s="71">
        <f>0+'[1]táj.2'!L432</f>
        <v>0</v>
      </c>
      <c r="M432" s="71">
        <f>3500+'[1]táj.2'!M432</f>
        <v>3500</v>
      </c>
      <c r="N432" s="71">
        <f>0+'[1]táj.2'!N432</f>
        <v>0</v>
      </c>
      <c r="O432" s="71">
        <f>0+'[1]táj.2'!O432</f>
        <v>0</v>
      </c>
      <c r="P432" s="71">
        <f>0+'[1]táj.2'!P432</f>
        <v>0</v>
      </c>
      <c r="Q432" s="11">
        <f t="shared" si="25"/>
        <v>3500</v>
      </c>
    </row>
    <row r="433" spans="1:17" ht="18.75" customHeight="1">
      <c r="A433" s="74"/>
      <c r="B433" s="74"/>
      <c r="C433" s="127" t="s">
        <v>1087</v>
      </c>
      <c r="D433" s="629" t="s">
        <v>1297</v>
      </c>
      <c r="E433" s="386"/>
      <c r="F433" s="11">
        <v>152501</v>
      </c>
      <c r="G433" s="71">
        <f>0+'[1]táj.2'!G433</f>
        <v>0</v>
      </c>
      <c r="H433" s="71">
        <f>0+'[1]táj.2'!H433</f>
        <v>0</v>
      </c>
      <c r="I433" s="71">
        <f>0+'[1]táj.2'!I433</f>
        <v>0</v>
      </c>
      <c r="J433" s="71">
        <f>0+'[1]táj.2'!J433</f>
        <v>0</v>
      </c>
      <c r="K433" s="71">
        <f>0+'[1]táj.2'!K433</f>
        <v>0</v>
      </c>
      <c r="L433" s="71">
        <f>3500+'[1]táj.2'!L433</f>
        <v>3500</v>
      </c>
      <c r="M433" s="71">
        <f>0+'[1]táj.2'!M433</f>
        <v>0</v>
      </c>
      <c r="N433" s="71">
        <f>0+'[1]táj.2'!N433</f>
        <v>0</v>
      </c>
      <c r="O433" s="71">
        <f>0+'[1]táj.2'!O433</f>
        <v>0</v>
      </c>
      <c r="P433" s="71">
        <f>0+'[1]táj.2'!P433</f>
        <v>0</v>
      </c>
      <c r="Q433" s="11">
        <f t="shared" si="25"/>
        <v>3500</v>
      </c>
    </row>
    <row r="434" spans="1:17" ht="15.75" customHeight="1">
      <c r="A434" s="74"/>
      <c r="B434" s="74"/>
      <c r="C434" s="127" t="s">
        <v>1116</v>
      </c>
      <c r="D434" s="629" t="s">
        <v>1524</v>
      </c>
      <c r="E434" s="386"/>
      <c r="F434" s="11">
        <v>152502</v>
      </c>
      <c r="G434" s="71">
        <f>0+'[1]táj.2'!G434</f>
        <v>0</v>
      </c>
      <c r="H434" s="71">
        <f>0+'[1]táj.2'!H434</f>
        <v>0</v>
      </c>
      <c r="I434" s="71">
        <f>0+'[1]táj.2'!I434</f>
        <v>0</v>
      </c>
      <c r="J434" s="71">
        <f>0+'[1]táj.2'!J434</f>
        <v>0</v>
      </c>
      <c r="K434" s="71">
        <f>0+'[1]táj.2'!K434</f>
        <v>0</v>
      </c>
      <c r="L434" s="71">
        <f>2000+'[1]táj.2'!L434</f>
        <v>2000</v>
      </c>
      <c r="M434" s="71">
        <f>0+'[1]táj.2'!M434</f>
        <v>0</v>
      </c>
      <c r="N434" s="71">
        <f>0+'[1]táj.2'!N434</f>
        <v>0</v>
      </c>
      <c r="O434" s="71">
        <f>0+'[1]táj.2'!O434</f>
        <v>0</v>
      </c>
      <c r="P434" s="71">
        <f>0+'[1]táj.2'!P434</f>
        <v>0</v>
      </c>
      <c r="Q434" s="11">
        <f t="shared" si="25"/>
        <v>2000</v>
      </c>
    </row>
    <row r="435" spans="1:17" ht="17.25" customHeight="1">
      <c r="A435" s="74"/>
      <c r="B435" s="74"/>
      <c r="C435" s="127" t="s">
        <v>1117</v>
      </c>
      <c r="D435" s="629" t="s">
        <v>1311</v>
      </c>
      <c r="E435" s="725"/>
      <c r="F435" s="11">
        <v>152503</v>
      </c>
      <c r="G435" s="71">
        <f>0+'[1]táj.2'!G435</f>
        <v>0</v>
      </c>
      <c r="H435" s="71">
        <f>0+'[1]táj.2'!H435</f>
        <v>0</v>
      </c>
      <c r="I435" s="71">
        <f>0+'[1]táj.2'!I435</f>
        <v>0</v>
      </c>
      <c r="J435" s="71">
        <f>0+'[1]táj.2'!J435</f>
        <v>0</v>
      </c>
      <c r="K435" s="71">
        <f>0+'[1]táj.2'!K435</f>
        <v>0</v>
      </c>
      <c r="L435" s="71">
        <f>1200+'[1]táj.2'!L435</f>
        <v>1200</v>
      </c>
      <c r="M435" s="71">
        <f>0+'[1]táj.2'!M435</f>
        <v>0</v>
      </c>
      <c r="N435" s="71">
        <f>0+'[1]táj.2'!N435</f>
        <v>0</v>
      </c>
      <c r="O435" s="71">
        <f>0+'[1]táj.2'!O435</f>
        <v>0</v>
      </c>
      <c r="P435" s="71">
        <f>0+'[1]táj.2'!P435</f>
        <v>0</v>
      </c>
      <c r="Q435" s="11">
        <f t="shared" si="25"/>
        <v>1200</v>
      </c>
    </row>
    <row r="436" spans="1:17" ht="15" customHeight="1">
      <c r="A436" s="74"/>
      <c r="B436" s="74"/>
      <c r="C436" s="127" t="s">
        <v>1141</v>
      </c>
      <c r="D436" s="629" t="s">
        <v>1312</v>
      </c>
      <c r="E436" s="386"/>
      <c r="F436" s="11">
        <v>152504</v>
      </c>
      <c r="G436" s="71">
        <f>0+'[1]táj.2'!G436</f>
        <v>0</v>
      </c>
      <c r="H436" s="71">
        <f>0+'[1]táj.2'!H436</f>
        <v>0</v>
      </c>
      <c r="I436" s="71">
        <f>0+'[1]táj.2'!I436</f>
        <v>0</v>
      </c>
      <c r="J436" s="71">
        <f>0+'[1]táj.2'!J436</f>
        <v>0</v>
      </c>
      <c r="K436" s="71">
        <f>0+'[1]táj.2'!K436</f>
        <v>0</v>
      </c>
      <c r="L436" s="71">
        <f>500+'[1]táj.2'!L436</f>
        <v>500</v>
      </c>
      <c r="M436" s="71">
        <f>0+'[1]táj.2'!M436</f>
        <v>0</v>
      </c>
      <c r="N436" s="71">
        <f>0+'[1]táj.2'!N436</f>
        <v>0</v>
      </c>
      <c r="O436" s="71">
        <f>0+'[1]táj.2'!O436</f>
        <v>0</v>
      </c>
      <c r="P436" s="71">
        <f>0+'[1]táj.2'!P436</f>
        <v>0</v>
      </c>
      <c r="Q436" s="11">
        <f t="shared" si="25"/>
        <v>500</v>
      </c>
    </row>
    <row r="437" spans="1:17" ht="26.25" customHeight="1">
      <c r="A437" s="74"/>
      <c r="B437" s="74"/>
      <c r="C437" s="127" t="s">
        <v>1142</v>
      </c>
      <c r="D437" s="629" t="s">
        <v>1322</v>
      </c>
      <c r="F437" s="11">
        <v>152505</v>
      </c>
      <c r="G437" s="71">
        <f>0+'[1]táj.2'!G437</f>
        <v>0</v>
      </c>
      <c r="H437" s="71">
        <f>0+'[1]táj.2'!H437</f>
        <v>0</v>
      </c>
      <c r="I437" s="71">
        <f>60+'[1]táj.2'!I437</f>
        <v>60</v>
      </c>
      <c r="J437" s="71">
        <f>0+'[1]táj.2'!J437</f>
        <v>0</v>
      </c>
      <c r="K437" s="71">
        <f>0+'[1]táj.2'!K437</f>
        <v>0</v>
      </c>
      <c r="L437" s="71">
        <f>300+'[1]táj.2'!L437</f>
        <v>300</v>
      </c>
      <c r="M437" s="71">
        <f>0+'[1]táj.2'!M437</f>
        <v>0</v>
      </c>
      <c r="N437" s="71">
        <f>0+'[1]táj.2'!N437</f>
        <v>0</v>
      </c>
      <c r="O437" s="71">
        <f>0+'[1]táj.2'!O437</f>
        <v>0</v>
      </c>
      <c r="P437" s="71">
        <f>0+'[1]táj.2'!P437</f>
        <v>0</v>
      </c>
      <c r="Q437" s="11">
        <f t="shared" si="25"/>
        <v>360</v>
      </c>
    </row>
    <row r="438" spans="1:17" ht="24.75" customHeight="1">
      <c r="A438" s="74"/>
      <c r="B438" s="74"/>
      <c r="C438" s="127" t="s">
        <v>1143</v>
      </c>
      <c r="D438" s="629" t="s">
        <v>1461</v>
      </c>
      <c r="E438" s="725"/>
      <c r="F438" s="11">
        <v>154501</v>
      </c>
      <c r="G438" s="71">
        <f>0+'[1]táj.2'!G438</f>
        <v>0</v>
      </c>
      <c r="H438" s="71">
        <f>0+'[1]táj.2'!H438</f>
        <v>0</v>
      </c>
      <c r="I438" s="71">
        <f>0+'[1]táj.2'!I438</f>
        <v>0</v>
      </c>
      <c r="J438" s="71">
        <f>0+'[1]táj.2'!J438</f>
        <v>0</v>
      </c>
      <c r="K438" s="71">
        <f>0+'[1]táj.2'!K438</f>
        <v>0</v>
      </c>
      <c r="L438" s="71">
        <f>0+'[1]táj.2'!L438</f>
        <v>0</v>
      </c>
      <c r="M438" s="71">
        <f>700+'[1]táj.2'!M438</f>
        <v>700</v>
      </c>
      <c r="N438" s="71">
        <f>0+'[1]táj.2'!N438</f>
        <v>0</v>
      </c>
      <c r="O438" s="71">
        <f>0+'[1]táj.2'!O438</f>
        <v>0</v>
      </c>
      <c r="P438" s="71">
        <f>0+'[1]táj.2'!P438</f>
        <v>0</v>
      </c>
      <c r="Q438" s="11">
        <f t="shared" si="25"/>
        <v>700</v>
      </c>
    </row>
    <row r="439" spans="1:17" ht="29.25" customHeight="1">
      <c r="A439" s="74"/>
      <c r="B439" s="74"/>
      <c r="C439" s="127" t="s">
        <v>1144</v>
      </c>
      <c r="D439" s="629" t="s">
        <v>1467</v>
      </c>
      <c r="E439" s="386"/>
      <c r="F439" s="11">
        <v>152506</v>
      </c>
      <c r="G439" s="71">
        <f>0+'[1]táj.2'!G439</f>
        <v>0</v>
      </c>
      <c r="H439" s="71">
        <f>0+'[1]táj.2'!H439</f>
        <v>0</v>
      </c>
      <c r="I439" s="71">
        <f>0+'[1]táj.2'!I439</f>
        <v>0</v>
      </c>
      <c r="J439" s="71">
        <f>0+'[1]táj.2'!J439</f>
        <v>0</v>
      </c>
      <c r="K439" s="71">
        <f>0+'[1]táj.2'!K439</f>
        <v>0</v>
      </c>
      <c r="L439" s="71">
        <f>5440+'[1]táj.2'!L439</f>
        <v>5440</v>
      </c>
      <c r="M439" s="71">
        <f>0+'[1]táj.2'!M439</f>
        <v>0</v>
      </c>
      <c r="N439" s="71">
        <f>0+'[1]táj.2'!N439</f>
        <v>0</v>
      </c>
      <c r="O439" s="71">
        <f>0+'[1]táj.2'!O439</f>
        <v>0</v>
      </c>
      <c r="P439" s="71">
        <f>0+'[1]táj.2'!P439</f>
        <v>0</v>
      </c>
      <c r="Q439" s="11">
        <f t="shared" si="25"/>
        <v>5440</v>
      </c>
    </row>
    <row r="440" spans="1:17" ht="18" customHeight="1">
      <c r="A440" s="74"/>
      <c r="B440" s="74"/>
      <c r="C440" s="127" t="s">
        <v>47</v>
      </c>
      <c r="D440" s="629" t="s">
        <v>48</v>
      </c>
      <c r="E440" s="386"/>
      <c r="F440" s="11">
        <v>152507</v>
      </c>
      <c r="G440" s="71">
        <f>0+'[1]táj.2'!G440</f>
        <v>0</v>
      </c>
      <c r="H440" s="71">
        <f>0+'[1]táj.2'!H440</f>
        <v>0</v>
      </c>
      <c r="I440" s="71">
        <f>0+'[1]táj.2'!I440</f>
        <v>0</v>
      </c>
      <c r="J440" s="71">
        <f>0+'[1]táj.2'!J440</f>
        <v>0</v>
      </c>
      <c r="K440" s="71">
        <f>0+'[1]táj.2'!K440</f>
        <v>0</v>
      </c>
      <c r="L440" s="71">
        <f>1000+'[1]táj.2'!L440</f>
        <v>1000</v>
      </c>
      <c r="M440" s="71">
        <f>0+'[1]táj.2'!M440</f>
        <v>0</v>
      </c>
      <c r="N440" s="71">
        <f>0+'[1]táj.2'!N440</f>
        <v>0</v>
      </c>
      <c r="O440" s="71">
        <f>0+'[1]táj.2'!O440</f>
        <v>0</v>
      </c>
      <c r="P440" s="71">
        <f>0+'[1]táj.2'!P440</f>
        <v>0</v>
      </c>
      <c r="Q440" s="11">
        <f t="shared" si="25"/>
        <v>1000</v>
      </c>
    </row>
    <row r="441" spans="1:17" ht="12.75" customHeight="1">
      <c r="A441" s="74"/>
      <c r="B441" s="74"/>
      <c r="C441" s="74"/>
      <c r="D441" s="133" t="s">
        <v>686</v>
      </c>
      <c r="E441" s="386"/>
      <c r="F441" s="12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11"/>
    </row>
    <row r="442" spans="1:17" ht="27.75" customHeight="1">
      <c r="A442" s="74"/>
      <c r="B442" s="74"/>
      <c r="C442" s="737" t="s">
        <v>927</v>
      </c>
      <c r="D442" s="738" t="s">
        <v>939</v>
      </c>
      <c r="E442" s="382"/>
      <c r="F442" s="11">
        <v>154511</v>
      </c>
      <c r="G442" s="71">
        <f>0+'[1]táj.2'!G442</f>
        <v>0</v>
      </c>
      <c r="H442" s="71">
        <f>0+'[1]táj.2'!H442</f>
        <v>0</v>
      </c>
      <c r="I442" s="71">
        <f>515+'[1]táj.2'!I442</f>
        <v>515</v>
      </c>
      <c r="J442" s="71">
        <f>0+'[1]táj.2'!J442</f>
        <v>0</v>
      </c>
      <c r="K442" s="71">
        <f>0+'[1]táj.2'!K442</f>
        <v>0</v>
      </c>
      <c r="L442" s="71">
        <f>0+'[1]táj.2'!L442</f>
        <v>0</v>
      </c>
      <c r="M442" s="71">
        <f>853+'[1]táj.2'!M442</f>
        <v>853</v>
      </c>
      <c r="N442" s="71">
        <f>0+'[1]táj.2'!N442</f>
        <v>0</v>
      </c>
      <c r="O442" s="71">
        <f>0+'[1]táj.2'!O442</f>
        <v>0</v>
      </c>
      <c r="P442" s="71">
        <f>0+'[1]táj.2'!P442</f>
        <v>0</v>
      </c>
      <c r="Q442" s="11">
        <f>SUM(G442:P442)</f>
        <v>1368</v>
      </c>
    </row>
    <row r="443" spans="1:17" ht="15" customHeight="1">
      <c r="A443" s="74"/>
      <c r="B443" s="74"/>
      <c r="C443" s="737" t="s">
        <v>929</v>
      </c>
      <c r="D443" s="739" t="s">
        <v>817</v>
      </c>
      <c r="E443" s="386"/>
      <c r="F443" s="11">
        <v>154529</v>
      </c>
      <c r="G443" s="71">
        <f>0+'[1]táj.2'!G443</f>
        <v>0</v>
      </c>
      <c r="H443" s="71">
        <f>0+'[1]táj.2'!H443</f>
        <v>0</v>
      </c>
      <c r="I443" s="71">
        <f>0+'[1]táj.2'!I443</f>
        <v>0</v>
      </c>
      <c r="J443" s="71">
        <f>0+'[1]táj.2'!J443</f>
        <v>0</v>
      </c>
      <c r="K443" s="71">
        <f>0+'[1]táj.2'!K443</f>
        <v>0</v>
      </c>
      <c r="L443" s="71">
        <f>0+'[1]táj.2'!L443</f>
        <v>0</v>
      </c>
      <c r="M443" s="71">
        <f>696+'[1]táj.2'!M443</f>
        <v>696</v>
      </c>
      <c r="N443" s="71">
        <f>0+'[1]táj.2'!N443</f>
        <v>0</v>
      </c>
      <c r="O443" s="71">
        <f>0+'[1]táj.2'!O443</f>
        <v>0</v>
      </c>
      <c r="P443" s="71">
        <f>0+'[1]táj.2'!P443</f>
        <v>0</v>
      </c>
      <c r="Q443" s="11">
        <f>SUM(G443:P443)</f>
        <v>696</v>
      </c>
    </row>
    <row r="444" spans="1:17" ht="28.5" customHeight="1">
      <c r="A444" s="74"/>
      <c r="B444" s="74"/>
      <c r="C444" s="737" t="s">
        <v>930</v>
      </c>
      <c r="D444" s="114" t="s">
        <v>1284</v>
      </c>
      <c r="E444" s="386"/>
      <c r="F444" s="11">
        <v>152555</v>
      </c>
      <c r="G444" s="71">
        <f>0+'[1]táj.2'!G444</f>
        <v>0</v>
      </c>
      <c r="H444" s="71">
        <f>0+'[1]táj.2'!H444</f>
        <v>0</v>
      </c>
      <c r="I444" s="71">
        <f>0+'[1]táj.2'!I444</f>
        <v>0</v>
      </c>
      <c r="J444" s="71">
        <f>0+'[1]táj.2'!J444</f>
        <v>0</v>
      </c>
      <c r="K444" s="71">
        <f>0+'[1]táj.2'!K444</f>
        <v>0</v>
      </c>
      <c r="L444" s="71">
        <f>3320+'[1]táj.2'!L444</f>
        <v>3320</v>
      </c>
      <c r="M444" s="71">
        <f>0+'[1]táj.2'!M444</f>
        <v>0</v>
      </c>
      <c r="N444" s="71">
        <f>0+'[1]táj.2'!N444</f>
        <v>0</v>
      </c>
      <c r="O444" s="71">
        <f>0+'[1]táj.2'!O444</f>
        <v>0</v>
      </c>
      <c r="P444" s="71">
        <f>0+'[1]táj.2'!P444</f>
        <v>0</v>
      </c>
      <c r="Q444" s="11">
        <f>SUM(G444:P444)</f>
        <v>3320</v>
      </c>
    </row>
    <row r="445" spans="1:17" ht="17.25" customHeight="1">
      <c r="A445" s="74"/>
      <c r="B445" s="74"/>
      <c r="C445" s="737" t="s">
        <v>378</v>
      </c>
      <c r="D445" s="709" t="s">
        <v>1348</v>
      </c>
      <c r="E445" s="725"/>
      <c r="F445" s="11">
        <v>154541</v>
      </c>
      <c r="G445" s="71">
        <f>0+'[1]táj.2'!G445</f>
        <v>0</v>
      </c>
      <c r="H445" s="71">
        <f>0+'[1]táj.2'!H445</f>
        <v>0</v>
      </c>
      <c r="I445" s="71">
        <f>508+'[1]táj.2'!I445</f>
        <v>508</v>
      </c>
      <c r="J445" s="71">
        <f>0+'[1]táj.2'!J445</f>
        <v>0</v>
      </c>
      <c r="K445" s="71">
        <f>0+'[1]táj.2'!K445</f>
        <v>0</v>
      </c>
      <c r="L445" s="71">
        <f>0+'[1]táj.2'!L445</f>
        <v>0</v>
      </c>
      <c r="M445" s="71">
        <f>4256+'[1]táj.2'!M445</f>
        <v>4256</v>
      </c>
      <c r="N445" s="71">
        <f>0+'[1]táj.2'!N445</f>
        <v>0</v>
      </c>
      <c r="O445" s="71">
        <f>0+'[1]táj.2'!O445</f>
        <v>0</v>
      </c>
      <c r="P445" s="71">
        <f>0+'[1]táj.2'!P445</f>
        <v>0</v>
      </c>
      <c r="Q445" s="11">
        <f>SUM(G445:P445)</f>
        <v>4764</v>
      </c>
    </row>
    <row r="446" spans="1:17" ht="19.5" customHeight="1">
      <c r="A446" s="74"/>
      <c r="B446" s="74"/>
      <c r="C446" s="737" t="s">
        <v>379</v>
      </c>
      <c r="D446" s="739" t="s">
        <v>392</v>
      </c>
      <c r="E446" s="386"/>
      <c r="F446" s="11">
        <v>152558</v>
      </c>
      <c r="G446" s="71">
        <f>0+'[1]táj.2'!G446</f>
        <v>0</v>
      </c>
      <c r="H446" s="71">
        <f>0+'[1]táj.2'!H446</f>
        <v>0</v>
      </c>
      <c r="I446" s="71">
        <f>0+'[1]táj.2'!I446</f>
        <v>0</v>
      </c>
      <c r="J446" s="71">
        <f>0+'[1]táj.2'!J446</f>
        <v>0</v>
      </c>
      <c r="K446" s="71">
        <f>0+'[1]táj.2'!K446</f>
        <v>0</v>
      </c>
      <c r="L446" s="71">
        <f>500+'[1]táj.2'!L446</f>
        <v>500</v>
      </c>
      <c r="M446" s="71">
        <f>0+'[1]táj.2'!M446</f>
        <v>0</v>
      </c>
      <c r="N446" s="71">
        <f>0+'[1]táj.2'!N446</f>
        <v>0</v>
      </c>
      <c r="O446" s="71">
        <f>0+'[1]táj.2'!O446</f>
        <v>0</v>
      </c>
      <c r="P446" s="71">
        <f>0+'[1]táj.2'!P446</f>
        <v>0</v>
      </c>
      <c r="Q446" s="11">
        <f>SUM(G446:P446)</f>
        <v>500</v>
      </c>
    </row>
    <row r="447" spans="1:17" ht="15" customHeight="1">
      <c r="A447" s="74"/>
      <c r="B447" s="74"/>
      <c r="C447" s="249" t="s">
        <v>555</v>
      </c>
      <c r="D447" s="727" t="s">
        <v>556</v>
      </c>
      <c r="E447" s="386"/>
      <c r="F447" s="12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11"/>
    </row>
    <row r="448" spans="1:17" ht="18" customHeight="1">
      <c r="A448" s="74"/>
      <c r="B448" s="74"/>
      <c r="C448" s="213" t="s">
        <v>1001</v>
      </c>
      <c r="D448" s="629" t="s">
        <v>1347</v>
      </c>
      <c r="E448" s="386"/>
      <c r="F448" s="11">
        <v>152702</v>
      </c>
      <c r="G448" s="71">
        <f>0+'[1]táj.2'!G448</f>
        <v>0</v>
      </c>
      <c r="H448" s="71">
        <f>0+'[1]táj.2'!H448</f>
        <v>0</v>
      </c>
      <c r="I448" s="71">
        <f>0+'[1]táj.2'!I448</f>
        <v>0</v>
      </c>
      <c r="J448" s="71">
        <f>0+'[1]táj.2'!J448</f>
        <v>0</v>
      </c>
      <c r="K448" s="71">
        <f>0+'[1]táj.2'!K448</f>
        <v>0</v>
      </c>
      <c r="L448" s="71">
        <f>500+'[1]táj.2'!L448</f>
        <v>500</v>
      </c>
      <c r="M448" s="71">
        <f>0+'[1]táj.2'!M448</f>
        <v>0</v>
      </c>
      <c r="N448" s="71">
        <f>0+'[1]táj.2'!N448</f>
        <v>0</v>
      </c>
      <c r="O448" s="71">
        <f>0+'[1]táj.2'!O448</f>
        <v>0</v>
      </c>
      <c r="P448" s="71">
        <f>0+'[1]táj.2'!P448</f>
        <v>0</v>
      </c>
      <c r="Q448" s="11">
        <f>SUM(G448:P448)</f>
        <v>500</v>
      </c>
    </row>
    <row r="449" spans="1:17" ht="18" customHeight="1">
      <c r="A449" s="74"/>
      <c r="B449" s="74"/>
      <c r="C449" s="213" t="s">
        <v>1474</v>
      </c>
      <c r="D449" s="629" t="s">
        <v>1475</v>
      </c>
      <c r="E449" s="386"/>
      <c r="F449" s="11">
        <v>152703</v>
      </c>
      <c r="G449" s="71">
        <f>0+'[1]táj.2'!G449</f>
        <v>0</v>
      </c>
      <c r="H449" s="71">
        <f>0+'[1]táj.2'!H449</f>
        <v>0</v>
      </c>
      <c r="I449" s="71">
        <f>0+'[1]táj.2'!I449</f>
        <v>0</v>
      </c>
      <c r="J449" s="71">
        <f>0+'[1]táj.2'!J449</f>
        <v>0</v>
      </c>
      <c r="K449" s="71">
        <f>0+'[1]táj.2'!K449</f>
        <v>0</v>
      </c>
      <c r="L449" s="71">
        <f>1000+'[1]táj.2'!L449</f>
        <v>1000</v>
      </c>
      <c r="M449" s="71">
        <f>0+'[1]táj.2'!M449</f>
        <v>0</v>
      </c>
      <c r="N449" s="71">
        <f>0+'[1]táj.2'!N449</f>
        <v>0</v>
      </c>
      <c r="O449" s="71">
        <f>0+'[1]táj.2'!O449</f>
        <v>0</v>
      </c>
      <c r="P449" s="71">
        <f>0+'[1]táj.2'!P449</f>
        <v>0</v>
      </c>
      <c r="Q449" s="11">
        <f>SUM(G449:P449)</f>
        <v>1000</v>
      </c>
    </row>
    <row r="450" spans="1:17" ht="15" customHeight="1">
      <c r="A450" s="74"/>
      <c r="B450" s="74"/>
      <c r="C450" s="215" t="s">
        <v>557</v>
      </c>
      <c r="D450" s="740" t="s">
        <v>558</v>
      </c>
      <c r="E450" s="386"/>
      <c r="F450" s="12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11"/>
    </row>
    <row r="451" spans="1:17" ht="15" customHeight="1">
      <c r="A451" s="74"/>
      <c r="B451" s="74"/>
      <c r="C451" s="210" t="s">
        <v>1230</v>
      </c>
      <c r="D451" s="629" t="s">
        <v>1308</v>
      </c>
      <c r="E451" s="386"/>
      <c r="F451" s="11">
        <v>152804</v>
      </c>
      <c r="G451" s="71">
        <f>0+'[1]táj.2'!G451</f>
        <v>0</v>
      </c>
      <c r="H451" s="71">
        <f>0+'[1]táj.2'!H451</f>
        <v>0</v>
      </c>
      <c r="I451" s="71">
        <f>0+'[1]táj.2'!I451</f>
        <v>0</v>
      </c>
      <c r="J451" s="71">
        <f>0+'[1]táj.2'!J451</f>
        <v>0</v>
      </c>
      <c r="K451" s="71">
        <f>0+'[1]táj.2'!K451</f>
        <v>0</v>
      </c>
      <c r="L451" s="71">
        <f>500+'[1]táj.2'!L451</f>
        <v>500</v>
      </c>
      <c r="M451" s="71">
        <f>0+'[1]táj.2'!M451</f>
        <v>0</v>
      </c>
      <c r="N451" s="71">
        <f>0+'[1]táj.2'!N451</f>
        <v>0</v>
      </c>
      <c r="O451" s="71">
        <f>0+'[1]táj.2'!O451</f>
        <v>0</v>
      </c>
      <c r="P451" s="71">
        <f>0+'[1]táj.2'!P451</f>
        <v>0</v>
      </c>
      <c r="Q451" s="11">
        <f>SUM(G451:P451)</f>
        <v>500</v>
      </c>
    </row>
    <row r="452" spans="1:17" ht="15" customHeight="1">
      <c r="A452" s="74"/>
      <c r="B452" s="74"/>
      <c r="C452" s="210" t="s">
        <v>43</v>
      </c>
      <c r="D452" s="741" t="s">
        <v>44</v>
      </c>
      <c r="E452" s="386"/>
      <c r="F452" s="11">
        <v>152801</v>
      </c>
      <c r="G452" s="71">
        <f>0+'[1]táj.2'!G452</f>
        <v>0</v>
      </c>
      <c r="H452" s="71">
        <f>0+'[1]táj.2'!H452</f>
        <v>0</v>
      </c>
      <c r="I452" s="71">
        <f>0+'[1]táj.2'!I452</f>
        <v>0</v>
      </c>
      <c r="J452" s="71">
        <f>0+'[1]táj.2'!J452</f>
        <v>0</v>
      </c>
      <c r="K452" s="71">
        <f>0+'[1]táj.2'!K452</f>
        <v>0</v>
      </c>
      <c r="L452" s="71">
        <f>5000+'[1]táj.2'!L452</f>
        <v>5000</v>
      </c>
      <c r="M452" s="71">
        <f>0+'[1]táj.2'!M452</f>
        <v>0</v>
      </c>
      <c r="N452" s="71">
        <f>0+'[1]táj.2'!N452</f>
        <v>0</v>
      </c>
      <c r="O452" s="71">
        <f>0+'[1]táj.2'!O452</f>
        <v>0</v>
      </c>
      <c r="P452" s="71">
        <f>0+'[1]táj.2'!P452</f>
        <v>0</v>
      </c>
      <c r="Q452" s="11">
        <f>SUM(G452:P452)</f>
        <v>5000</v>
      </c>
    </row>
    <row r="453" spans="1:17" ht="15" customHeight="1">
      <c r="A453" s="74"/>
      <c r="B453" s="74"/>
      <c r="C453" s="211" t="s">
        <v>559</v>
      </c>
      <c r="D453" s="265" t="s">
        <v>560</v>
      </c>
      <c r="E453" s="382"/>
      <c r="F453" s="1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11"/>
    </row>
    <row r="454" spans="1:17" ht="19.5" customHeight="1">
      <c r="A454" s="74"/>
      <c r="B454" s="74"/>
      <c r="C454" s="214" t="s">
        <v>1084</v>
      </c>
      <c r="D454" s="629" t="s">
        <v>1291</v>
      </c>
      <c r="E454" s="382"/>
      <c r="F454" s="11">
        <v>154903</v>
      </c>
      <c r="G454" s="71">
        <f>0+'[1]táj.2'!G454</f>
        <v>0</v>
      </c>
      <c r="H454" s="71">
        <f>0+'[1]táj.2'!H454</f>
        <v>0</v>
      </c>
      <c r="I454" s="71">
        <f>0+'[1]táj.2'!I454</f>
        <v>0</v>
      </c>
      <c r="J454" s="71">
        <f>0+'[1]táj.2'!J454</f>
        <v>0</v>
      </c>
      <c r="K454" s="71">
        <f>0+'[1]táj.2'!K454</f>
        <v>0</v>
      </c>
      <c r="L454" s="71">
        <f>0+'[1]táj.2'!L454</f>
        <v>0</v>
      </c>
      <c r="M454" s="71">
        <f>500+'[1]táj.2'!M454</f>
        <v>500</v>
      </c>
      <c r="N454" s="71">
        <f>0+'[1]táj.2'!N454</f>
        <v>0</v>
      </c>
      <c r="O454" s="71">
        <f>0+'[1]táj.2'!O454</f>
        <v>0</v>
      </c>
      <c r="P454" s="71">
        <f>0+'[1]táj.2'!P454</f>
        <v>0</v>
      </c>
      <c r="Q454" s="11">
        <f aca="true" t="shared" si="26" ref="Q454:Q462">SUM(G454:P454)</f>
        <v>500</v>
      </c>
    </row>
    <row r="455" spans="1:17" ht="33" customHeight="1">
      <c r="A455" s="74"/>
      <c r="B455" s="74"/>
      <c r="C455" s="214" t="s">
        <v>509</v>
      </c>
      <c r="D455" s="629" t="s">
        <v>1292</v>
      </c>
      <c r="E455" s="382"/>
      <c r="F455" s="11">
        <v>152938</v>
      </c>
      <c r="G455" s="71">
        <f>0+'[1]táj.2'!G455</f>
        <v>0</v>
      </c>
      <c r="H455" s="71">
        <f>0+'[1]táj.2'!H455</f>
        <v>0</v>
      </c>
      <c r="I455" s="71">
        <f>0+'[1]táj.2'!I455</f>
        <v>0</v>
      </c>
      <c r="J455" s="71">
        <f>0+'[1]táj.2'!J455</f>
        <v>0</v>
      </c>
      <c r="K455" s="71">
        <f>0+'[1]táj.2'!K455</f>
        <v>0</v>
      </c>
      <c r="L455" s="71">
        <f>15280+'[1]táj.2'!L455</f>
        <v>14919</v>
      </c>
      <c r="M455" s="71">
        <f>0+'[1]táj.2'!M455</f>
        <v>361</v>
      </c>
      <c r="N455" s="71">
        <f>0+'[1]táj.2'!N455</f>
        <v>0</v>
      </c>
      <c r="O455" s="71">
        <f>0+'[1]táj.2'!O455</f>
        <v>0</v>
      </c>
      <c r="P455" s="71">
        <f>0+'[1]táj.2'!P455</f>
        <v>0</v>
      </c>
      <c r="Q455" s="11">
        <f t="shared" si="26"/>
        <v>15280</v>
      </c>
    </row>
    <row r="456" spans="1:17" ht="17.25" customHeight="1">
      <c r="A456" s="74"/>
      <c r="B456" s="74"/>
      <c r="C456" s="214" t="s">
        <v>1132</v>
      </c>
      <c r="D456" s="629" t="s">
        <v>1303</v>
      </c>
      <c r="F456" s="11">
        <v>152935</v>
      </c>
      <c r="G456" s="71">
        <f>0+'[1]táj.2'!G456</f>
        <v>0</v>
      </c>
      <c r="H456" s="71">
        <f>0+'[1]táj.2'!H456</f>
        <v>0</v>
      </c>
      <c r="I456" s="71">
        <f>0+'[1]táj.2'!I456</f>
        <v>0</v>
      </c>
      <c r="J456" s="71">
        <f>0+'[1]táj.2'!J456</f>
        <v>0</v>
      </c>
      <c r="K456" s="71">
        <f>0+'[1]táj.2'!K456</f>
        <v>0</v>
      </c>
      <c r="L456" s="71">
        <f>0+'[1]táj.2'!L456</f>
        <v>0</v>
      </c>
      <c r="M456" s="71">
        <f>2385+'[1]táj.2'!M456</f>
        <v>2385</v>
      </c>
      <c r="N456" s="71">
        <f>0+'[1]táj.2'!N456</f>
        <v>0</v>
      </c>
      <c r="O456" s="71">
        <f>0+'[1]táj.2'!O456</f>
        <v>0</v>
      </c>
      <c r="P456" s="71">
        <f>0+'[1]táj.2'!P456</f>
        <v>0</v>
      </c>
      <c r="Q456" s="11">
        <f t="shared" si="26"/>
        <v>2385</v>
      </c>
    </row>
    <row r="457" spans="1:17" ht="17.25" customHeight="1">
      <c r="A457" s="74"/>
      <c r="B457" s="74"/>
      <c r="C457" s="214" t="s">
        <v>1133</v>
      </c>
      <c r="D457" s="629" t="s">
        <v>1306</v>
      </c>
      <c r="F457" s="11">
        <v>152939</v>
      </c>
      <c r="G457" s="71">
        <f>0+'[1]táj.2'!G457</f>
        <v>0</v>
      </c>
      <c r="H457" s="71">
        <f>0+'[1]táj.2'!H457</f>
        <v>0</v>
      </c>
      <c r="I457" s="71">
        <f>0+'[1]táj.2'!I457</f>
        <v>0</v>
      </c>
      <c r="J457" s="71">
        <f>0+'[1]táj.2'!J457</f>
        <v>0</v>
      </c>
      <c r="K457" s="71">
        <f>0+'[1]táj.2'!K457</f>
        <v>0</v>
      </c>
      <c r="L457" s="71">
        <f>0+'[1]táj.2'!L457</f>
        <v>0</v>
      </c>
      <c r="M457" s="71">
        <f>0+'[1]táj.2'!M457</f>
        <v>0</v>
      </c>
      <c r="N457" s="71">
        <f>500+'[1]táj.2'!N457</f>
        <v>300</v>
      </c>
      <c r="O457" s="71">
        <f>0+'[1]táj.2'!O457</f>
        <v>0</v>
      </c>
      <c r="P457" s="71">
        <f>0+'[1]táj.2'!P457</f>
        <v>0</v>
      </c>
      <c r="Q457" s="11">
        <f t="shared" si="26"/>
        <v>300</v>
      </c>
    </row>
    <row r="458" spans="1:17" ht="27" customHeight="1">
      <c r="A458" s="74"/>
      <c r="B458" s="74"/>
      <c r="C458" s="214" t="s">
        <v>1134</v>
      </c>
      <c r="D458" s="629" t="s">
        <v>1313</v>
      </c>
      <c r="F458" s="11">
        <v>152940</v>
      </c>
      <c r="G458" s="71">
        <f>0+'[1]táj.2'!G458</f>
        <v>0</v>
      </c>
      <c r="H458" s="71">
        <f>0+'[1]táj.2'!H458</f>
        <v>0</v>
      </c>
      <c r="I458" s="71">
        <f>0+'[1]táj.2'!I458</f>
        <v>0</v>
      </c>
      <c r="J458" s="71">
        <f>0+'[1]táj.2'!J458</f>
        <v>0</v>
      </c>
      <c r="K458" s="71">
        <f>0+'[1]táj.2'!K458</f>
        <v>0</v>
      </c>
      <c r="L458" s="71">
        <f>600+'[1]táj.2'!L458</f>
        <v>600</v>
      </c>
      <c r="M458" s="71">
        <f>0+'[1]táj.2'!M458</f>
        <v>0</v>
      </c>
      <c r="N458" s="71">
        <f>0+'[1]táj.2'!N458</f>
        <v>0</v>
      </c>
      <c r="O458" s="71">
        <f>0+'[1]táj.2'!O458</f>
        <v>0</v>
      </c>
      <c r="P458" s="71">
        <f>0+'[1]táj.2'!P458</f>
        <v>0</v>
      </c>
      <c r="Q458" s="11">
        <f t="shared" si="26"/>
        <v>600</v>
      </c>
    </row>
    <row r="459" spans="1:17" ht="17.25" customHeight="1">
      <c r="A459" s="74"/>
      <c r="B459" s="74"/>
      <c r="C459" s="214" t="s">
        <v>707</v>
      </c>
      <c r="D459" s="629" t="s">
        <v>620</v>
      </c>
      <c r="F459" s="11">
        <v>152943</v>
      </c>
      <c r="G459" s="71">
        <f>0+'[1]táj.2'!G459</f>
        <v>0</v>
      </c>
      <c r="H459" s="71">
        <f>0+'[1]táj.2'!H459</f>
        <v>0</v>
      </c>
      <c r="I459" s="71">
        <f>0+'[1]táj.2'!I459</f>
        <v>0</v>
      </c>
      <c r="J459" s="71">
        <f>0+'[1]táj.2'!J459</f>
        <v>0</v>
      </c>
      <c r="K459" s="71">
        <f>0+'[1]táj.2'!K459</f>
        <v>0</v>
      </c>
      <c r="L459" s="71">
        <f>516+'[1]táj.2'!L459</f>
        <v>516</v>
      </c>
      <c r="M459" s="71">
        <f>0+'[1]táj.2'!M459</f>
        <v>0</v>
      </c>
      <c r="N459" s="71">
        <f>0+'[1]táj.2'!N459</f>
        <v>0</v>
      </c>
      <c r="O459" s="71">
        <f>0+'[1]táj.2'!O459</f>
        <v>0</v>
      </c>
      <c r="P459" s="71">
        <f>0+'[1]táj.2'!P459</f>
        <v>0</v>
      </c>
      <c r="Q459" s="11">
        <f t="shared" si="26"/>
        <v>516</v>
      </c>
    </row>
    <row r="460" spans="1:17" ht="17.25" customHeight="1">
      <c r="A460" s="74"/>
      <c r="B460" s="74"/>
      <c r="C460" s="214" t="s">
        <v>10</v>
      </c>
      <c r="D460" s="629" t="s">
        <v>1485</v>
      </c>
      <c r="F460" s="11">
        <v>152941</v>
      </c>
      <c r="G460" s="71">
        <f>0+'[1]táj.2'!G460</f>
        <v>0</v>
      </c>
      <c r="H460" s="71">
        <f>0+'[1]táj.2'!H460</f>
        <v>0</v>
      </c>
      <c r="I460" s="71">
        <f>0+'[1]táj.2'!I460</f>
        <v>0</v>
      </c>
      <c r="J460" s="71">
        <f>0+'[1]táj.2'!J460</f>
        <v>0</v>
      </c>
      <c r="K460" s="71">
        <f>0+'[1]táj.2'!K460</f>
        <v>0</v>
      </c>
      <c r="L460" s="71">
        <f>320+'[1]táj.2'!L460</f>
        <v>320</v>
      </c>
      <c r="M460" s="71">
        <f>0+'[1]táj.2'!M460</f>
        <v>0</v>
      </c>
      <c r="N460" s="71">
        <f>0+'[1]táj.2'!N460</f>
        <v>0</v>
      </c>
      <c r="O460" s="71">
        <f>0+'[1]táj.2'!O460</f>
        <v>0</v>
      </c>
      <c r="P460" s="71">
        <f>0+'[1]táj.2'!P460</f>
        <v>0</v>
      </c>
      <c r="Q460" s="11">
        <f t="shared" si="26"/>
        <v>320</v>
      </c>
    </row>
    <row r="461" spans="1:17" ht="17.25" customHeight="1">
      <c r="A461" s="74"/>
      <c r="B461" s="74"/>
      <c r="C461" s="214" t="s">
        <v>45</v>
      </c>
      <c r="D461" s="629" t="s">
        <v>46</v>
      </c>
      <c r="F461" s="11">
        <v>152942</v>
      </c>
      <c r="G461" s="71">
        <f>0+'[1]táj.2'!G461</f>
        <v>0</v>
      </c>
      <c r="H461" s="71">
        <f>0+'[1]táj.2'!H461</f>
        <v>0</v>
      </c>
      <c r="I461" s="71">
        <f>0+'[1]táj.2'!I461</f>
        <v>0</v>
      </c>
      <c r="J461" s="71">
        <f>0+'[1]táj.2'!J461</f>
        <v>0</v>
      </c>
      <c r="K461" s="71">
        <f>0+'[1]táj.2'!K461</f>
        <v>0</v>
      </c>
      <c r="L461" s="71">
        <f>10000+'[1]táj.2'!L461</f>
        <v>10000</v>
      </c>
      <c r="M461" s="71">
        <f>0+'[1]táj.2'!M461</f>
        <v>0</v>
      </c>
      <c r="N461" s="71">
        <f>0+'[1]táj.2'!N461</f>
        <v>0</v>
      </c>
      <c r="O461" s="71">
        <f>0+'[1]táj.2'!O461</f>
        <v>0</v>
      </c>
      <c r="P461" s="71">
        <f>0+'[1]táj.2'!P461</f>
        <v>0</v>
      </c>
      <c r="Q461" s="11">
        <f t="shared" si="26"/>
        <v>10000</v>
      </c>
    </row>
    <row r="462" spans="1:17" ht="17.25" customHeight="1">
      <c r="A462" s="74"/>
      <c r="B462" s="74"/>
      <c r="C462" s="214" t="s">
        <v>51</v>
      </c>
      <c r="D462" s="629" t="s">
        <v>52</v>
      </c>
      <c r="F462" s="11">
        <v>152944</v>
      </c>
      <c r="G462" s="71">
        <f>0+'[1]táj.2'!G462</f>
        <v>0</v>
      </c>
      <c r="H462" s="71">
        <f>0+'[1]táj.2'!H462</f>
        <v>0</v>
      </c>
      <c r="I462" s="71">
        <f>0+'[1]táj.2'!I462</f>
        <v>0</v>
      </c>
      <c r="J462" s="71">
        <f>0+'[1]táj.2'!J462</f>
        <v>0</v>
      </c>
      <c r="K462" s="71">
        <f>0+'[1]táj.2'!K462</f>
        <v>0</v>
      </c>
      <c r="L462" s="71">
        <f>500+'[1]táj.2'!L462</f>
        <v>500</v>
      </c>
      <c r="M462" s="71">
        <f>0+'[1]táj.2'!M462</f>
        <v>0</v>
      </c>
      <c r="N462" s="71">
        <f>0+'[1]táj.2'!N462</f>
        <v>0</v>
      </c>
      <c r="O462" s="71">
        <f>0+'[1]táj.2'!O462</f>
        <v>0</v>
      </c>
      <c r="P462" s="71">
        <f>0+'[1]táj.2'!P462</f>
        <v>0</v>
      </c>
      <c r="Q462" s="11">
        <f t="shared" si="26"/>
        <v>500</v>
      </c>
    </row>
    <row r="463" spans="1:17" ht="23.25" customHeight="1">
      <c r="A463" s="74"/>
      <c r="B463" s="74"/>
      <c r="C463" s="214" t="s">
        <v>781</v>
      </c>
      <c r="D463" s="629" t="s">
        <v>782</v>
      </c>
      <c r="F463" s="11">
        <v>152945</v>
      </c>
      <c r="G463" s="71">
        <f>0+'[1]táj.2'!G463</f>
        <v>0</v>
      </c>
      <c r="H463" s="71">
        <f>0+'[1]táj.2'!H463</f>
        <v>0</v>
      </c>
      <c r="I463" s="71">
        <f>0+'[1]táj.2'!I463</f>
        <v>0</v>
      </c>
      <c r="J463" s="71">
        <f>0+'[1]táj.2'!J463</f>
        <v>0</v>
      </c>
      <c r="K463" s="71">
        <f>0+'[1]táj.2'!K463</f>
        <v>0</v>
      </c>
      <c r="L463" s="71">
        <f>0+'[1]táj.2'!L463</f>
        <v>0</v>
      </c>
      <c r="M463" s="71">
        <f>0+'[1]táj.2'!M463</f>
        <v>0</v>
      </c>
      <c r="N463" s="71">
        <f>0+'[1]táj.2'!N463</f>
        <v>200</v>
      </c>
      <c r="O463" s="71">
        <f>0+'[1]táj.2'!O463</f>
        <v>0</v>
      </c>
      <c r="P463" s="71">
        <f>0+'[1]táj.2'!P463</f>
        <v>0</v>
      </c>
      <c r="Q463" s="71">
        <f>0+'[1]táj.2'!Q463</f>
        <v>200</v>
      </c>
    </row>
    <row r="464" spans="1:17" ht="15" customHeight="1">
      <c r="A464" s="74"/>
      <c r="B464" s="74"/>
      <c r="C464" s="128"/>
      <c r="D464" s="133" t="s">
        <v>686</v>
      </c>
      <c r="E464" s="382"/>
      <c r="F464" s="1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11"/>
    </row>
    <row r="465" spans="1:17" ht="15" customHeight="1">
      <c r="A465" s="74"/>
      <c r="B465" s="74"/>
      <c r="C465" s="127" t="s">
        <v>387</v>
      </c>
      <c r="D465" s="742" t="s">
        <v>1138</v>
      </c>
      <c r="E465" s="382"/>
      <c r="F465" s="11">
        <v>134964</v>
      </c>
      <c r="G465" s="71">
        <f>0+'[1]táj.2'!G465</f>
        <v>0</v>
      </c>
      <c r="H465" s="71">
        <f>0+'[1]táj.2'!H465</f>
        <v>0</v>
      </c>
      <c r="I465" s="71">
        <f>0+'[1]táj.2'!I465</f>
        <v>0</v>
      </c>
      <c r="J465" s="71">
        <f>0+'[1]táj.2'!J465</f>
        <v>0</v>
      </c>
      <c r="K465" s="71">
        <f>0+'[1]táj.2'!K465</f>
        <v>0</v>
      </c>
      <c r="L465" s="71">
        <f>0+'[1]táj.2'!L465</f>
        <v>0</v>
      </c>
      <c r="M465" s="71">
        <f>2977+'[1]táj.2'!M465</f>
        <v>2977</v>
      </c>
      <c r="N465" s="71">
        <f>0+'[1]táj.2'!N465</f>
        <v>0</v>
      </c>
      <c r="O465" s="71">
        <f>0+'[1]táj.2'!O465</f>
        <v>0</v>
      </c>
      <c r="P465" s="71">
        <f>0+'[1]táj.2'!P465</f>
        <v>0</v>
      </c>
      <c r="Q465" s="11">
        <f>SUM(G465:P465)</f>
        <v>2977</v>
      </c>
    </row>
    <row r="466" spans="1:17" ht="15" customHeight="1">
      <c r="A466" s="74"/>
      <c r="B466" s="74"/>
      <c r="C466" s="127" t="s">
        <v>480</v>
      </c>
      <c r="D466" s="743" t="s">
        <v>481</v>
      </c>
      <c r="E466" s="382"/>
      <c r="F466" s="11">
        <v>152937</v>
      </c>
      <c r="G466" s="71">
        <f>0+'[1]táj.2'!G466</f>
        <v>0</v>
      </c>
      <c r="H466" s="71">
        <f>0+'[1]táj.2'!H466</f>
        <v>0</v>
      </c>
      <c r="I466" s="71">
        <f>0+'[1]táj.2'!I466</f>
        <v>0</v>
      </c>
      <c r="J466" s="71">
        <f>0+'[1]táj.2'!J466</f>
        <v>0</v>
      </c>
      <c r="K466" s="71">
        <f>0+'[1]táj.2'!K466</f>
        <v>0</v>
      </c>
      <c r="L466" s="71">
        <f>29372+'[1]táj.2'!L466</f>
        <v>35872</v>
      </c>
      <c r="M466" s="71">
        <f>0+'[1]táj.2'!M466</f>
        <v>0</v>
      </c>
      <c r="N466" s="71">
        <f>6500+'[1]táj.2'!N466</f>
        <v>0</v>
      </c>
      <c r="O466" s="71">
        <f>0+'[1]táj.2'!O466</f>
        <v>0</v>
      </c>
      <c r="P466" s="71">
        <f>0+'[1]táj.2'!P466</f>
        <v>0</v>
      </c>
      <c r="Q466" s="11">
        <f>SUM(G466:P466)</f>
        <v>35872</v>
      </c>
    </row>
    <row r="467" spans="1:17" ht="15" customHeight="1">
      <c r="A467" s="74"/>
      <c r="B467" s="74"/>
      <c r="C467" s="127" t="s">
        <v>607</v>
      </c>
      <c r="D467" s="744" t="s">
        <v>139</v>
      </c>
      <c r="E467" s="382"/>
      <c r="F467" s="11">
        <v>154913</v>
      </c>
      <c r="G467" s="71">
        <f>0+'[1]táj.2'!G467</f>
        <v>0</v>
      </c>
      <c r="H467" s="71">
        <f>0+'[1]táj.2'!H467</f>
        <v>0</v>
      </c>
      <c r="I467" s="71">
        <f>0+'[1]táj.2'!I467</f>
        <v>0</v>
      </c>
      <c r="J467" s="71">
        <f>0+'[1]táj.2'!J467</f>
        <v>0</v>
      </c>
      <c r="K467" s="71">
        <f>0+'[1]táj.2'!K467</f>
        <v>0</v>
      </c>
      <c r="L467" s="71">
        <f>0+'[1]táj.2'!L467</f>
        <v>0</v>
      </c>
      <c r="M467" s="71">
        <f>244+'[1]táj.2'!M467</f>
        <v>244</v>
      </c>
      <c r="N467" s="71">
        <f>0+'[1]táj.2'!N467</f>
        <v>0</v>
      </c>
      <c r="O467" s="71">
        <f>0+'[1]táj.2'!O467</f>
        <v>0</v>
      </c>
      <c r="P467" s="71">
        <f>0+'[1]táj.2'!P467</f>
        <v>0</v>
      </c>
      <c r="Q467" s="11">
        <f>SUM(G467:P467)</f>
        <v>244</v>
      </c>
    </row>
    <row r="468" spans="1:17" ht="15" customHeight="1">
      <c r="A468" s="65"/>
      <c r="B468" s="65"/>
      <c r="C468" s="126"/>
      <c r="D468" s="104" t="s">
        <v>1019</v>
      </c>
      <c r="E468" s="398"/>
      <c r="F468" s="69"/>
      <c r="G468" s="67">
        <f aca="true" t="shared" si="27" ref="G468:Q468">SUM(G327:G467)</f>
        <v>7060</v>
      </c>
      <c r="H468" s="69">
        <f t="shared" si="27"/>
        <v>1262</v>
      </c>
      <c r="I468" s="69">
        <f t="shared" si="27"/>
        <v>1453646</v>
      </c>
      <c r="J468" s="69">
        <f t="shared" si="27"/>
        <v>0</v>
      </c>
      <c r="K468" s="69">
        <f t="shared" si="27"/>
        <v>386384</v>
      </c>
      <c r="L468" s="69">
        <f t="shared" si="27"/>
        <v>164829</v>
      </c>
      <c r="M468" s="69">
        <f t="shared" si="27"/>
        <v>186046</v>
      </c>
      <c r="N468" s="69">
        <f t="shared" si="27"/>
        <v>500</v>
      </c>
      <c r="O468" s="69">
        <f t="shared" si="27"/>
        <v>0</v>
      </c>
      <c r="P468" s="69">
        <f t="shared" si="27"/>
        <v>0</v>
      </c>
      <c r="Q468" s="69">
        <f t="shared" si="27"/>
        <v>2199727</v>
      </c>
    </row>
    <row r="469" spans="1:17" ht="15" customHeight="1">
      <c r="A469" s="70">
        <v>1</v>
      </c>
      <c r="B469" s="70">
        <v>16</v>
      </c>
      <c r="C469" s="127"/>
      <c r="D469" s="136" t="s">
        <v>1020</v>
      </c>
      <c r="E469" s="384"/>
      <c r="F469" s="11"/>
      <c r="G469" s="71"/>
      <c r="H469" s="6"/>
      <c r="I469" s="6"/>
      <c r="J469" s="6"/>
      <c r="K469" s="6"/>
      <c r="L469" s="6"/>
      <c r="M469" s="11"/>
      <c r="N469" s="11"/>
      <c r="O469" s="11"/>
      <c r="P469" s="11"/>
      <c r="Q469" s="11"/>
    </row>
    <row r="470" spans="1:17" ht="15" customHeight="1">
      <c r="A470" s="70"/>
      <c r="B470" s="70"/>
      <c r="C470" s="127"/>
      <c r="D470" s="101" t="s">
        <v>816</v>
      </c>
      <c r="E470" s="384"/>
      <c r="F470" s="11"/>
      <c r="G470" s="71"/>
      <c r="H470" s="6"/>
      <c r="I470" s="6"/>
      <c r="J470" s="6"/>
      <c r="K470" s="6"/>
      <c r="L470" s="6"/>
      <c r="M470" s="11"/>
      <c r="N470" s="11"/>
      <c r="O470" s="11"/>
      <c r="P470" s="11"/>
      <c r="Q470" s="11"/>
    </row>
    <row r="471" spans="1:17" ht="15" customHeight="1">
      <c r="A471" s="70"/>
      <c r="B471" s="70"/>
      <c r="C471" s="127"/>
      <c r="D471" s="133" t="s">
        <v>154</v>
      </c>
      <c r="E471" s="10">
        <v>2</v>
      </c>
      <c r="F471" s="11">
        <v>161910</v>
      </c>
      <c r="G471" s="71">
        <f>0+'[1]táj.2'!G471</f>
        <v>0</v>
      </c>
      <c r="H471" s="71">
        <f>0+'[1]táj.2'!H471</f>
        <v>0</v>
      </c>
      <c r="I471" s="71">
        <f>4200+'[1]táj.2'!I471</f>
        <v>4200</v>
      </c>
      <c r="J471" s="71">
        <f>0+'[1]táj.2'!J471</f>
        <v>0</v>
      </c>
      <c r="K471" s="71">
        <f>0+'[1]táj.2'!K471</f>
        <v>0</v>
      </c>
      <c r="L471" s="71">
        <f>0+'[1]táj.2'!L471</f>
        <v>0</v>
      </c>
      <c r="M471" s="71">
        <f>0+'[1]táj.2'!M471</f>
        <v>0</v>
      </c>
      <c r="N471" s="71">
        <f>0+'[1]táj.2'!N471</f>
        <v>0</v>
      </c>
      <c r="O471" s="71">
        <f>0+'[1]táj.2'!O471</f>
        <v>0</v>
      </c>
      <c r="P471" s="71">
        <f>0+'[1]táj.2'!P471</f>
        <v>0</v>
      </c>
      <c r="Q471" s="11">
        <f aca="true" t="shared" si="28" ref="Q471:Q476">SUM(G471:P471)</f>
        <v>4200</v>
      </c>
    </row>
    <row r="472" spans="1:17" ht="15" customHeight="1">
      <c r="A472" s="70"/>
      <c r="B472" s="70"/>
      <c r="C472" s="127"/>
      <c r="D472" s="133" t="s">
        <v>303</v>
      </c>
      <c r="E472" s="10">
        <v>1</v>
      </c>
      <c r="F472" s="11">
        <v>161908</v>
      </c>
      <c r="G472" s="71">
        <f>0+'[1]táj.2'!G472</f>
        <v>0</v>
      </c>
      <c r="H472" s="71">
        <f>0+'[1]táj.2'!H472</f>
        <v>0</v>
      </c>
      <c r="I472" s="71">
        <f>3007+'[1]táj.2'!I472</f>
        <v>2584</v>
      </c>
      <c r="J472" s="71">
        <f>0+'[1]táj.2'!J472</f>
        <v>0</v>
      </c>
      <c r="K472" s="71">
        <f>0+'[1]táj.2'!K472</f>
        <v>0</v>
      </c>
      <c r="L472" s="71">
        <f>0+'[1]táj.2'!L472</f>
        <v>0</v>
      </c>
      <c r="M472" s="71">
        <f>0+'[1]táj.2'!M472</f>
        <v>0</v>
      </c>
      <c r="N472" s="71">
        <f>0+'[1]táj.2'!N472</f>
        <v>0</v>
      </c>
      <c r="O472" s="71">
        <f>0+'[1]táj.2'!O472</f>
        <v>0</v>
      </c>
      <c r="P472" s="71">
        <f>0+'[1]táj.2'!P472</f>
        <v>0</v>
      </c>
      <c r="Q472" s="11">
        <f t="shared" si="28"/>
        <v>2584</v>
      </c>
    </row>
    <row r="473" spans="1:17" ht="29.25" customHeight="1">
      <c r="A473" s="70"/>
      <c r="B473" s="70"/>
      <c r="C473" s="127"/>
      <c r="D473" s="95" t="s">
        <v>155</v>
      </c>
      <c r="E473" s="10">
        <v>2</v>
      </c>
      <c r="F473" s="11">
        <v>161911</v>
      </c>
      <c r="G473" s="71">
        <f>0+'[1]táj.2'!G473</f>
        <v>0</v>
      </c>
      <c r="H473" s="71">
        <f>0+'[1]táj.2'!H473</f>
        <v>0</v>
      </c>
      <c r="I473" s="71">
        <f>10000+'[1]táj.2'!I473</f>
        <v>9860</v>
      </c>
      <c r="J473" s="71">
        <f>0+'[1]táj.2'!J473</f>
        <v>0</v>
      </c>
      <c r="K473" s="71">
        <f>0+'[1]táj.2'!K473</f>
        <v>0</v>
      </c>
      <c r="L473" s="71">
        <f>0+'[1]táj.2'!L473</f>
        <v>140</v>
      </c>
      <c r="M473" s="71">
        <f>0+'[1]táj.2'!M473</f>
        <v>0</v>
      </c>
      <c r="N473" s="71">
        <f>0+'[1]táj.2'!N473</f>
        <v>0</v>
      </c>
      <c r="O473" s="71">
        <f>0+'[1]táj.2'!O473</f>
        <v>0</v>
      </c>
      <c r="P473" s="71">
        <f>0+'[1]táj.2'!P473</f>
        <v>0</v>
      </c>
      <c r="Q473" s="11">
        <f t="shared" si="28"/>
        <v>10000</v>
      </c>
    </row>
    <row r="474" spans="1:17" ht="24" customHeight="1">
      <c r="A474" s="70"/>
      <c r="B474" s="70"/>
      <c r="C474" s="127"/>
      <c r="D474" s="114" t="s">
        <v>1210</v>
      </c>
      <c r="E474" s="10">
        <v>2</v>
      </c>
      <c r="F474" s="11">
        <v>161904</v>
      </c>
      <c r="G474" s="71">
        <f>0+'[1]táj.2'!G474</f>
        <v>0</v>
      </c>
      <c r="H474" s="71">
        <f>0+'[1]táj.2'!H474</f>
        <v>0</v>
      </c>
      <c r="I474" s="71">
        <f>8118+'[1]táj.2'!I474</f>
        <v>8118</v>
      </c>
      <c r="J474" s="71">
        <f>0+'[1]táj.2'!J474</f>
        <v>0</v>
      </c>
      <c r="K474" s="71">
        <f>0+'[1]táj.2'!K474</f>
        <v>0</v>
      </c>
      <c r="L474" s="71">
        <f>0+'[1]táj.2'!L474</f>
        <v>0</v>
      </c>
      <c r="M474" s="71">
        <f>0+'[1]táj.2'!M474</f>
        <v>0</v>
      </c>
      <c r="N474" s="71">
        <f>0+'[1]táj.2'!N474</f>
        <v>0</v>
      </c>
      <c r="O474" s="71">
        <f>0+'[1]táj.2'!O474</f>
        <v>0</v>
      </c>
      <c r="P474" s="71">
        <f>0+'[1]táj.2'!P474</f>
        <v>0</v>
      </c>
      <c r="Q474" s="11">
        <f t="shared" si="28"/>
        <v>8118</v>
      </c>
    </row>
    <row r="475" spans="1:17" ht="24" customHeight="1">
      <c r="A475" s="70"/>
      <c r="B475" s="70"/>
      <c r="C475" s="127"/>
      <c r="D475" s="114" t="s">
        <v>783</v>
      </c>
      <c r="E475" s="10">
        <v>2</v>
      </c>
      <c r="F475" s="11">
        <v>221955</v>
      </c>
      <c r="G475" s="71">
        <f>0+'[1]táj.2'!G475</f>
        <v>0</v>
      </c>
      <c r="H475" s="71">
        <f>0+'[1]táj.2'!H475</f>
        <v>0</v>
      </c>
      <c r="I475" s="71">
        <f>0+'[1]táj.2'!I475</f>
        <v>10000</v>
      </c>
      <c r="J475" s="71">
        <f>0+'[1]táj.2'!J475</f>
        <v>0</v>
      </c>
      <c r="K475" s="71">
        <f>0+'[1]táj.2'!K475</f>
        <v>0</v>
      </c>
      <c r="L475" s="71">
        <f>0+'[1]táj.2'!L475</f>
        <v>0</v>
      </c>
      <c r="M475" s="71">
        <f>0+'[1]táj.2'!M475</f>
        <v>0</v>
      </c>
      <c r="N475" s="71">
        <f>0+'[1]táj.2'!N475</f>
        <v>0</v>
      </c>
      <c r="O475" s="71">
        <f>0+'[1]táj.2'!O475</f>
        <v>0</v>
      </c>
      <c r="P475" s="71">
        <f>0+'[1]táj.2'!P475</f>
        <v>0</v>
      </c>
      <c r="Q475" s="11">
        <f t="shared" si="28"/>
        <v>10000</v>
      </c>
    </row>
    <row r="476" spans="1:17" ht="24" customHeight="1">
      <c r="A476" s="70"/>
      <c r="B476" s="70"/>
      <c r="C476" s="127"/>
      <c r="D476" s="95" t="s">
        <v>350</v>
      </c>
      <c r="E476" s="10">
        <v>2</v>
      </c>
      <c r="F476" s="11">
        <v>161903</v>
      </c>
      <c r="G476" s="71">
        <f>0+'[1]táj.2'!G476</f>
        <v>0</v>
      </c>
      <c r="H476" s="71">
        <f>0+'[1]táj.2'!H476</f>
        <v>0</v>
      </c>
      <c r="I476" s="71">
        <f>1352+'[1]táj.2'!I476</f>
        <v>1352</v>
      </c>
      <c r="J476" s="71">
        <f>0+'[1]táj.2'!J476</f>
        <v>0</v>
      </c>
      <c r="K476" s="71">
        <f>0+'[1]táj.2'!K476</f>
        <v>0</v>
      </c>
      <c r="L476" s="71">
        <f>0+'[1]táj.2'!L476</f>
        <v>0</v>
      </c>
      <c r="M476" s="71">
        <f>0+'[1]táj.2'!M476</f>
        <v>0</v>
      </c>
      <c r="N476" s="71">
        <f>0+'[1]táj.2'!N476</f>
        <v>0</v>
      </c>
      <c r="O476" s="71">
        <f>0+'[1]táj.2'!O476</f>
        <v>0</v>
      </c>
      <c r="P476" s="71">
        <f>0+'[1]táj.2'!P476</f>
        <v>0</v>
      </c>
      <c r="Q476" s="11">
        <f t="shared" si="28"/>
        <v>1352</v>
      </c>
    </row>
    <row r="477" spans="1:17" ht="13.5" customHeight="1">
      <c r="A477" s="70"/>
      <c r="B477" s="70"/>
      <c r="C477" s="127"/>
      <c r="D477" s="262" t="s">
        <v>746</v>
      </c>
      <c r="E477" s="287"/>
      <c r="F477" s="1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11"/>
    </row>
    <row r="478" spans="1:17" ht="13.5" customHeight="1">
      <c r="A478" s="70"/>
      <c r="B478" s="70"/>
      <c r="C478" s="127"/>
      <c r="D478" s="745" t="s">
        <v>894</v>
      </c>
      <c r="E478" s="10">
        <v>2</v>
      </c>
      <c r="F478" s="11">
        <v>151606</v>
      </c>
      <c r="G478" s="71">
        <f>0+'[1]táj.2'!G478</f>
        <v>0</v>
      </c>
      <c r="H478" s="71">
        <f>0+'[1]táj.2'!H478</f>
        <v>0</v>
      </c>
      <c r="I478" s="71">
        <f>0+'[1]táj.2'!I478</f>
        <v>0</v>
      </c>
      <c r="J478" s="71">
        <f>0+'[1]táj.2'!J478</f>
        <v>0</v>
      </c>
      <c r="K478" s="71">
        <f>1905+'[1]táj.2'!K478</f>
        <v>1905</v>
      </c>
      <c r="L478" s="71">
        <f>0+'[1]táj.2'!L478</f>
        <v>0</v>
      </c>
      <c r="M478" s="71">
        <f>0+'[1]táj.2'!M478</f>
        <v>0</v>
      </c>
      <c r="N478" s="71">
        <f>0+'[1]táj.2'!N478</f>
        <v>0</v>
      </c>
      <c r="O478" s="71">
        <f>0+'[1]táj.2'!O478</f>
        <v>0</v>
      </c>
      <c r="P478" s="71">
        <f>0+'[1]táj.2'!P478</f>
        <v>0</v>
      </c>
      <c r="Q478" s="11">
        <f>SUM(G478:P478)</f>
        <v>1905</v>
      </c>
    </row>
    <row r="479" spans="1:17" ht="16.5" customHeight="1">
      <c r="A479" s="70"/>
      <c r="B479" s="70"/>
      <c r="C479" s="127"/>
      <c r="D479" s="262" t="s">
        <v>790</v>
      </c>
      <c r="E479" s="746"/>
      <c r="F479" s="1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11"/>
    </row>
    <row r="480" spans="1:17" ht="14.25" customHeight="1">
      <c r="A480" s="70"/>
      <c r="B480" s="70"/>
      <c r="C480" s="127"/>
      <c r="D480" s="262" t="s">
        <v>352</v>
      </c>
      <c r="E480" s="10">
        <v>2</v>
      </c>
      <c r="F480" s="11">
        <v>151203</v>
      </c>
      <c r="G480" s="71">
        <f>0+'[1]táj.2'!G480</f>
        <v>0</v>
      </c>
      <c r="H480" s="71">
        <f>0+'[1]táj.2'!H480</f>
        <v>0</v>
      </c>
      <c r="I480" s="71">
        <f>7196+'[1]táj.2'!I480</f>
        <v>7196</v>
      </c>
      <c r="J480" s="71">
        <f>0+'[1]táj.2'!J480</f>
        <v>0</v>
      </c>
      <c r="K480" s="71">
        <f>0+'[1]táj.2'!K480</f>
        <v>0</v>
      </c>
      <c r="L480" s="71">
        <f>0+'[1]táj.2'!L480</f>
        <v>0</v>
      </c>
      <c r="M480" s="71">
        <f>0+'[1]táj.2'!M480</f>
        <v>0</v>
      </c>
      <c r="N480" s="71">
        <f>0+'[1]táj.2'!N480</f>
        <v>0</v>
      </c>
      <c r="O480" s="71">
        <f>0+'[1]táj.2'!O480</f>
        <v>0</v>
      </c>
      <c r="P480" s="71">
        <f>0+'[1]táj.2'!P480</f>
        <v>0</v>
      </c>
      <c r="Q480" s="11">
        <f>SUM(G480:P480)</f>
        <v>7196</v>
      </c>
    </row>
    <row r="481" spans="1:17" ht="13.5" customHeight="1">
      <c r="A481" s="134"/>
      <c r="B481" s="134"/>
      <c r="C481" s="135"/>
      <c r="D481" s="268" t="s">
        <v>312</v>
      </c>
      <c r="E481" s="407"/>
      <c r="F481" s="205"/>
      <c r="G481" s="390">
        <f aca="true" t="shared" si="29" ref="G481:Q481">SUM(G471:G480)</f>
        <v>0</v>
      </c>
      <c r="H481" s="205">
        <f t="shared" si="29"/>
        <v>0</v>
      </c>
      <c r="I481" s="205">
        <f t="shared" si="29"/>
        <v>43310</v>
      </c>
      <c r="J481" s="205">
        <f t="shared" si="29"/>
        <v>0</v>
      </c>
      <c r="K481" s="205">
        <f t="shared" si="29"/>
        <v>1905</v>
      </c>
      <c r="L481" s="205">
        <f t="shared" si="29"/>
        <v>140</v>
      </c>
      <c r="M481" s="205">
        <f t="shared" si="29"/>
        <v>0</v>
      </c>
      <c r="N481" s="205">
        <f t="shared" si="29"/>
        <v>0</v>
      </c>
      <c r="O481" s="205">
        <f t="shared" si="29"/>
        <v>0</v>
      </c>
      <c r="P481" s="205">
        <f t="shared" si="29"/>
        <v>0</v>
      </c>
      <c r="Q481" s="205">
        <f t="shared" si="29"/>
        <v>45355</v>
      </c>
    </row>
    <row r="482" spans="1:17" ht="13.5" customHeight="1">
      <c r="A482" s="70"/>
      <c r="B482" s="70"/>
      <c r="C482" s="127"/>
      <c r="D482" s="278" t="s">
        <v>313</v>
      </c>
      <c r="E482" s="384"/>
      <c r="F482" s="11"/>
      <c r="G482" s="660"/>
      <c r="H482" s="6"/>
      <c r="I482" s="6"/>
      <c r="J482" s="11"/>
      <c r="K482" s="11"/>
      <c r="L482" s="11"/>
      <c r="M482" s="11"/>
      <c r="N482" s="11"/>
      <c r="O482" s="11"/>
      <c r="P482" s="11"/>
      <c r="Q482" s="11"/>
    </row>
    <row r="483" spans="1:17" ht="17.25" customHeight="1">
      <c r="A483" s="70"/>
      <c r="B483" s="70"/>
      <c r="C483" s="747" t="s">
        <v>577</v>
      </c>
      <c r="D483" s="748" t="s">
        <v>858</v>
      </c>
      <c r="E483" s="384"/>
      <c r="F483" s="11"/>
      <c r="G483" s="660"/>
      <c r="H483" s="6"/>
      <c r="I483" s="6"/>
      <c r="J483" s="11"/>
      <c r="K483" s="11"/>
      <c r="L483" s="11"/>
      <c r="M483" s="11"/>
      <c r="N483" s="11"/>
      <c r="O483" s="11"/>
      <c r="P483" s="11"/>
      <c r="Q483" s="11"/>
    </row>
    <row r="484" spans="1:17" ht="17.25" customHeight="1">
      <c r="A484" s="70"/>
      <c r="B484" s="70"/>
      <c r="C484" s="747" t="s">
        <v>597</v>
      </c>
      <c r="D484" s="749" t="s">
        <v>1088</v>
      </c>
      <c r="E484" s="384"/>
      <c r="F484" s="11">
        <v>164106</v>
      </c>
      <c r="G484" s="660">
        <f>0+'[1]táj.2'!G484</f>
        <v>0</v>
      </c>
      <c r="H484" s="660">
        <f>0+'[1]táj.2'!H484</f>
        <v>0</v>
      </c>
      <c r="I484" s="660">
        <f>0+'[1]táj.2'!I484</f>
        <v>0</v>
      </c>
      <c r="J484" s="660">
        <f>0+'[1]táj.2'!J484</f>
        <v>0</v>
      </c>
      <c r="K484" s="660">
        <f>0+'[1]táj.2'!K484</f>
        <v>0</v>
      </c>
      <c r="L484" s="660">
        <f>0+'[1]táj.2'!L484</f>
        <v>8804</v>
      </c>
      <c r="M484" s="660">
        <f>449087+'[1]táj.2'!M484</f>
        <v>455552</v>
      </c>
      <c r="N484" s="660">
        <f>0+'[1]táj.2'!N484</f>
        <v>0</v>
      </c>
      <c r="O484" s="660">
        <f>0+'[1]táj.2'!O484</f>
        <v>0</v>
      </c>
      <c r="P484" s="660">
        <f>0+'[1]táj.2'!P484</f>
        <v>0</v>
      </c>
      <c r="Q484" s="11">
        <f>SUM(G484:P484)</f>
        <v>464356</v>
      </c>
    </row>
    <row r="485" spans="1:17" ht="17.25" customHeight="1">
      <c r="A485" s="70"/>
      <c r="B485" s="70"/>
      <c r="C485" s="747" t="s">
        <v>599</v>
      </c>
      <c r="D485" s="749" t="s">
        <v>969</v>
      </c>
      <c r="E485" s="384"/>
      <c r="F485" s="11">
        <v>162110</v>
      </c>
      <c r="G485" s="660">
        <f>0+'[1]táj.2'!G485</f>
        <v>0</v>
      </c>
      <c r="H485" s="660">
        <f>0+'[1]táj.2'!H485</f>
        <v>0</v>
      </c>
      <c r="I485" s="660">
        <f>0+'[1]táj.2'!I485</f>
        <v>0</v>
      </c>
      <c r="J485" s="660">
        <f>0+'[1]táj.2'!J485</f>
        <v>0</v>
      </c>
      <c r="K485" s="660">
        <f>0+'[1]táj.2'!K485</f>
        <v>0</v>
      </c>
      <c r="L485" s="660">
        <f>27888+'[1]táj.2'!L485</f>
        <v>27888</v>
      </c>
      <c r="M485" s="660">
        <f>0+'[1]táj.2'!M485</f>
        <v>0</v>
      </c>
      <c r="N485" s="660">
        <f>0+'[1]táj.2'!N485</f>
        <v>0</v>
      </c>
      <c r="O485" s="660">
        <f>0+'[1]táj.2'!O485</f>
        <v>0</v>
      </c>
      <c r="P485" s="660">
        <f>0+'[1]táj.2'!P485</f>
        <v>0</v>
      </c>
      <c r="Q485" s="11">
        <f>SUM(G485:P485)</f>
        <v>27888</v>
      </c>
    </row>
    <row r="486" spans="1:17" ht="17.25" customHeight="1">
      <c r="A486" s="70"/>
      <c r="B486" s="70"/>
      <c r="C486" s="750" t="s">
        <v>1146</v>
      </c>
      <c r="D486" s="749" t="s">
        <v>784</v>
      </c>
      <c r="E486" s="11"/>
      <c r="F486" s="11">
        <v>162167</v>
      </c>
      <c r="G486" s="660">
        <f>0+'[1]táj.2'!G486</f>
        <v>0</v>
      </c>
      <c r="H486" s="660">
        <f>0+'[1]táj.2'!H486</f>
        <v>0</v>
      </c>
      <c r="I486" s="660">
        <f>0+'[1]táj.2'!I486</f>
        <v>0</v>
      </c>
      <c r="J486" s="660">
        <f>0+'[1]táj.2'!J486</f>
        <v>0</v>
      </c>
      <c r="K486" s="660">
        <f>0+'[1]táj.2'!K486</f>
        <v>0</v>
      </c>
      <c r="L486" s="660">
        <f>0+'[1]táj.2'!L486</f>
        <v>1000</v>
      </c>
      <c r="M486" s="660">
        <f>0+'[1]táj.2'!M486</f>
        <v>0</v>
      </c>
      <c r="N486" s="660">
        <f>0+'[1]táj.2'!N486</f>
        <v>0</v>
      </c>
      <c r="O486" s="660">
        <f>0+'[1]táj.2'!O486</f>
        <v>0</v>
      </c>
      <c r="P486" s="660">
        <f>0+'[1]táj.2'!P486</f>
        <v>0</v>
      </c>
      <c r="Q486" s="11">
        <f>SUM(G486:P486)</f>
        <v>1000</v>
      </c>
    </row>
    <row r="487" spans="1:17" ht="13.5" customHeight="1">
      <c r="A487" s="70"/>
      <c r="B487" s="70"/>
      <c r="C487" s="70"/>
      <c r="D487" s="133" t="s">
        <v>686</v>
      </c>
      <c r="E487" s="384"/>
      <c r="F487" s="11"/>
      <c r="G487" s="660"/>
      <c r="H487" s="660"/>
      <c r="I487" s="660"/>
      <c r="J487" s="660"/>
      <c r="K487" s="660"/>
      <c r="L487" s="660"/>
      <c r="M487" s="660"/>
      <c r="N487" s="660"/>
      <c r="O487" s="660"/>
      <c r="P487" s="660"/>
      <c r="Q487" s="11"/>
    </row>
    <row r="488" spans="1:17" ht="13.5" customHeight="1">
      <c r="A488" s="70"/>
      <c r="B488" s="70"/>
      <c r="C488" s="70" t="s">
        <v>388</v>
      </c>
      <c r="D488" s="751" t="s">
        <v>814</v>
      </c>
      <c r="E488" s="382"/>
      <c r="F488" s="11">
        <v>162126</v>
      </c>
      <c r="G488" s="660">
        <f>0+'[1]táj.2'!G488</f>
        <v>0</v>
      </c>
      <c r="H488" s="660">
        <f>0+'[1]táj.2'!H488</f>
        <v>0</v>
      </c>
      <c r="I488" s="660">
        <f>0+'[1]táj.2'!I488</f>
        <v>0</v>
      </c>
      <c r="J488" s="660">
        <f>0+'[1]táj.2'!J488</f>
        <v>0</v>
      </c>
      <c r="K488" s="660">
        <f>0+'[1]táj.2'!K488</f>
        <v>0</v>
      </c>
      <c r="L488" s="660">
        <f>800+'[1]táj.2'!L488</f>
        <v>800</v>
      </c>
      <c r="M488" s="660">
        <f>0+'[1]táj.2'!M488</f>
        <v>0</v>
      </c>
      <c r="N488" s="660">
        <f>0+'[1]táj.2'!N488</f>
        <v>0</v>
      </c>
      <c r="O488" s="660">
        <f>0+'[1]táj.2'!O488</f>
        <v>0</v>
      </c>
      <c r="P488" s="660">
        <f>0+'[1]táj.2'!P488</f>
        <v>0</v>
      </c>
      <c r="Q488" s="11">
        <f>SUM(G488:P488)</f>
        <v>800</v>
      </c>
    </row>
    <row r="489" spans="1:17" ht="23.25" customHeight="1">
      <c r="A489" s="70"/>
      <c r="B489" s="70"/>
      <c r="C489" s="70" t="s">
        <v>389</v>
      </c>
      <c r="D489" s="695" t="s">
        <v>601</v>
      </c>
      <c r="E489" s="382"/>
      <c r="F489" s="11">
        <v>162112</v>
      </c>
      <c r="G489" s="660">
        <f>0+'[1]táj.2'!G489</f>
        <v>0</v>
      </c>
      <c r="H489" s="660">
        <f>0+'[1]táj.2'!H489</f>
        <v>0</v>
      </c>
      <c r="I489" s="660">
        <f>0+'[1]táj.2'!I489</f>
        <v>0</v>
      </c>
      <c r="J489" s="660">
        <f>0+'[1]táj.2'!J489</f>
        <v>0</v>
      </c>
      <c r="K489" s="660">
        <f>0+'[1]táj.2'!K489</f>
        <v>0</v>
      </c>
      <c r="L489" s="660">
        <f>6002+'[1]táj.2'!L489</f>
        <v>6002</v>
      </c>
      <c r="M489" s="660">
        <f>0+'[1]táj.2'!M489</f>
        <v>0</v>
      </c>
      <c r="N489" s="660">
        <f>0+'[1]táj.2'!N489</f>
        <v>0</v>
      </c>
      <c r="O489" s="660">
        <f>0+'[1]táj.2'!O489</f>
        <v>0</v>
      </c>
      <c r="P489" s="660">
        <f>0+'[1]táj.2'!P489</f>
        <v>0</v>
      </c>
      <c r="Q489" s="11">
        <f>SUM(G489:P489)</f>
        <v>6002</v>
      </c>
    </row>
    <row r="490" spans="1:17" ht="18" customHeight="1">
      <c r="A490" s="70"/>
      <c r="B490" s="70"/>
      <c r="C490" s="70" t="s">
        <v>395</v>
      </c>
      <c r="D490" s="695" t="s">
        <v>602</v>
      </c>
      <c r="E490" s="382"/>
      <c r="F490" s="11">
        <v>162107</v>
      </c>
      <c r="G490" s="660">
        <f>0+'[1]táj.2'!G490</f>
        <v>0</v>
      </c>
      <c r="H490" s="660">
        <f>0+'[1]táj.2'!H490</f>
        <v>0</v>
      </c>
      <c r="I490" s="660">
        <f>0+'[1]táj.2'!I490</f>
        <v>0</v>
      </c>
      <c r="J490" s="660">
        <f>0+'[1]táj.2'!J490</f>
        <v>0</v>
      </c>
      <c r="K490" s="660">
        <f>0+'[1]táj.2'!K490</f>
        <v>0</v>
      </c>
      <c r="L490" s="660">
        <f>3179+'[1]táj.2'!L490</f>
        <v>3179</v>
      </c>
      <c r="M490" s="660">
        <f>0+'[1]táj.2'!M490</f>
        <v>0</v>
      </c>
      <c r="N490" s="660">
        <f>0+'[1]táj.2'!N490</f>
        <v>0</v>
      </c>
      <c r="O490" s="660">
        <f>0+'[1]táj.2'!O490</f>
        <v>0</v>
      </c>
      <c r="P490" s="660">
        <f>0+'[1]táj.2'!P490</f>
        <v>0</v>
      </c>
      <c r="Q490" s="11">
        <f>SUM(G490:P490)</f>
        <v>3179</v>
      </c>
    </row>
    <row r="491" spans="1:17" ht="25.5" customHeight="1">
      <c r="A491" s="70"/>
      <c r="B491" s="70"/>
      <c r="C491" s="70" t="s">
        <v>396</v>
      </c>
      <c r="D491" s="114" t="s">
        <v>954</v>
      </c>
      <c r="E491" s="384"/>
      <c r="F491" s="11">
        <v>162166</v>
      </c>
      <c r="G491" s="660">
        <f>0+'[1]táj.2'!G491</f>
        <v>0</v>
      </c>
      <c r="H491" s="660">
        <f>0+'[1]táj.2'!H491</f>
        <v>0</v>
      </c>
      <c r="I491" s="660">
        <f>0+'[1]táj.2'!I491</f>
        <v>0</v>
      </c>
      <c r="J491" s="660">
        <f>0+'[1]táj.2'!J491</f>
        <v>0</v>
      </c>
      <c r="K491" s="660">
        <f>0+'[1]táj.2'!K491</f>
        <v>0</v>
      </c>
      <c r="L491" s="660">
        <f>0+'[1]táj.2'!L491</f>
        <v>0</v>
      </c>
      <c r="M491" s="660">
        <f>2692+'[1]táj.2'!M491</f>
        <v>2692</v>
      </c>
      <c r="N491" s="660">
        <f>0+'[1]táj.2'!N491</f>
        <v>0</v>
      </c>
      <c r="O491" s="660">
        <f>0+'[1]táj.2'!O491</f>
        <v>0</v>
      </c>
      <c r="P491" s="660">
        <f>0+'[1]táj.2'!P491</f>
        <v>0</v>
      </c>
      <c r="Q491" s="11">
        <f>SUM(G491:P491)</f>
        <v>2692</v>
      </c>
    </row>
    <row r="492" spans="1:17" ht="15.75" customHeight="1">
      <c r="A492" s="70"/>
      <c r="B492" s="70"/>
      <c r="C492" s="70" t="s">
        <v>714</v>
      </c>
      <c r="D492" s="752" t="s">
        <v>482</v>
      </c>
      <c r="E492" s="384"/>
      <c r="F492" s="11">
        <v>164108</v>
      </c>
      <c r="G492" s="660">
        <f>0+'[1]táj.2'!G492</f>
        <v>0</v>
      </c>
      <c r="H492" s="660">
        <f>0+'[1]táj.2'!H492</f>
        <v>0</v>
      </c>
      <c r="I492" s="660">
        <f>0+'[1]táj.2'!I492</f>
        <v>100</v>
      </c>
      <c r="J492" s="660">
        <f>0+'[1]táj.2'!J492</f>
        <v>0</v>
      </c>
      <c r="K492" s="660">
        <f>0+'[1]táj.2'!K492</f>
        <v>0</v>
      </c>
      <c r="L492" s="660">
        <f>0+'[1]táj.2'!L492</f>
        <v>0</v>
      </c>
      <c r="M492" s="660">
        <f>25766+'[1]táj.2'!M492</f>
        <v>31521</v>
      </c>
      <c r="N492" s="660">
        <f>0+'[1]táj.2'!N492</f>
        <v>0</v>
      </c>
      <c r="O492" s="660">
        <f>0+'[1]táj.2'!O492</f>
        <v>0</v>
      </c>
      <c r="P492" s="660">
        <f>0+'[1]táj.2'!P492</f>
        <v>0</v>
      </c>
      <c r="Q492" s="11">
        <f>SUM(G492:P492)</f>
        <v>31621</v>
      </c>
    </row>
    <row r="493" spans="1:17" ht="17.25" customHeight="1">
      <c r="A493" s="70"/>
      <c r="B493" s="70"/>
      <c r="C493" s="259" t="s">
        <v>576</v>
      </c>
      <c r="D493" s="753" t="s">
        <v>1167</v>
      </c>
      <c r="E493" s="384"/>
      <c r="F493" s="11"/>
      <c r="G493" s="660"/>
      <c r="H493" s="660"/>
      <c r="I493" s="660"/>
      <c r="J493" s="660"/>
      <c r="K493" s="660"/>
      <c r="L493" s="660"/>
      <c r="M493" s="660"/>
      <c r="N493" s="660"/>
      <c r="O493" s="660"/>
      <c r="P493" s="660"/>
      <c r="Q493" s="11"/>
    </row>
    <row r="494" spans="1:17" ht="16.5" customHeight="1">
      <c r="A494" s="70"/>
      <c r="B494" s="70"/>
      <c r="C494" s="259" t="s">
        <v>668</v>
      </c>
      <c r="D494" s="306" t="s">
        <v>1089</v>
      </c>
      <c r="E494" s="384"/>
      <c r="F494" s="11">
        <v>164204</v>
      </c>
      <c r="G494" s="660">
        <f>0+'[1]táj.2'!G494</f>
        <v>0</v>
      </c>
      <c r="H494" s="660">
        <f>0+'[1]táj.2'!H494</f>
        <v>0</v>
      </c>
      <c r="I494" s="660">
        <f>0+'[1]táj.2'!I494</f>
        <v>2160</v>
      </c>
      <c r="J494" s="660">
        <f>0+'[1]táj.2'!J494</f>
        <v>0</v>
      </c>
      <c r="K494" s="660">
        <f>0+'[1]táj.2'!K494</f>
        <v>0</v>
      </c>
      <c r="L494" s="660">
        <f>0+'[1]táj.2'!L494</f>
        <v>14350</v>
      </c>
      <c r="M494" s="660">
        <f>153500+'[1]táj.2'!M494</f>
        <v>143541</v>
      </c>
      <c r="N494" s="660">
        <f>0+'[1]táj.2'!N494</f>
        <v>0</v>
      </c>
      <c r="O494" s="660">
        <f>0+'[1]táj.2'!O494</f>
        <v>0</v>
      </c>
      <c r="P494" s="660">
        <f>0+'[1]táj.2'!P494</f>
        <v>0</v>
      </c>
      <c r="Q494" s="11">
        <f>SUM(G494:P494)</f>
        <v>160051</v>
      </c>
    </row>
    <row r="495" spans="1:17" ht="16.5" customHeight="1">
      <c r="A495" s="70"/>
      <c r="B495" s="70"/>
      <c r="C495" s="70"/>
      <c r="D495" s="133" t="s">
        <v>686</v>
      </c>
      <c r="E495" s="384"/>
      <c r="F495" s="11"/>
      <c r="G495" s="660"/>
      <c r="H495" s="660"/>
      <c r="I495" s="660"/>
      <c r="J495" s="660"/>
      <c r="K495" s="660"/>
      <c r="L495" s="660"/>
      <c r="M495" s="660"/>
      <c r="N495" s="660"/>
      <c r="O495" s="660"/>
      <c r="P495" s="660"/>
      <c r="Q495" s="11"/>
    </row>
    <row r="496" spans="1:17" ht="30" customHeight="1">
      <c r="A496" s="70"/>
      <c r="B496" s="70"/>
      <c r="C496" s="70" t="s">
        <v>1024</v>
      </c>
      <c r="D496" s="629" t="s">
        <v>483</v>
      </c>
      <c r="E496" s="384"/>
      <c r="F496" s="11">
        <v>164205</v>
      </c>
      <c r="G496" s="660">
        <f>0+'[1]táj.2'!G496</f>
        <v>0</v>
      </c>
      <c r="H496" s="660">
        <f>0+'[1]táj.2'!H496</f>
        <v>0</v>
      </c>
      <c r="I496" s="660">
        <f>462173+'[1]táj.2'!I496</f>
        <v>462173</v>
      </c>
      <c r="J496" s="660">
        <f>0+'[1]táj.2'!J496</f>
        <v>0</v>
      </c>
      <c r="K496" s="660">
        <f>0+'[1]táj.2'!K496</f>
        <v>0</v>
      </c>
      <c r="L496" s="660">
        <f>1650000+'[1]táj.2'!L496</f>
        <v>1650000</v>
      </c>
      <c r="M496" s="660">
        <f>0+'[1]táj.2'!M496</f>
        <v>0</v>
      </c>
      <c r="N496" s="660">
        <f>0+'[1]táj.2'!N496</f>
        <v>0</v>
      </c>
      <c r="O496" s="660">
        <f>0+'[1]táj.2'!O496</f>
        <v>0</v>
      </c>
      <c r="P496" s="660">
        <f>0+'[1]táj.2'!P496</f>
        <v>0</v>
      </c>
      <c r="Q496" s="11">
        <f>SUM(G496:P496)</f>
        <v>2112173</v>
      </c>
    </row>
    <row r="497" spans="1:17" ht="30" customHeight="1">
      <c r="A497" s="70"/>
      <c r="B497" s="70"/>
      <c r="C497" s="70" t="s">
        <v>1025</v>
      </c>
      <c r="D497" s="629" t="s">
        <v>484</v>
      </c>
      <c r="E497" s="384"/>
      <c r="F497" s="11">
        <v>164206</v>
      </c>
      <c r="G497" s="660">
        <f>0+'[1]táj.2'!G497</f>
        <v>0</v>
      </c>
      <c r="H497" s="660">
        <f>0+'[1]táj.2'!H497</f>
        <v>0</v>
      </c>
      <c r="I497" s="660">
        <f>635+'[1]táj.2'!I497</f>
        <v>635</v>
      </c>
      <c r="J497" s="660">
        <f>0+'[1]táj.2'!J497</f>
        <v>0</v>
      </c>
      <c r="K497" s="660">
        <f>0+'[1]táj.2'!K497</f>
        <v>0</v>
      </c>
      <c r="L497" s="660">
        <f>0+'[1]táj.2'!L497</f>
        <v>0</v>
      </c>
      <c r="M497" s="660">
        <f>0+'[1]táj.2'!M497</f>
        <v>0</v>
      </c>
      <c r="N497" s="660">
        <f>0+'[1]táj.2'!N497</f>
        <v>0</v>
      </c>
      <c r="O497" s="660">
        <f>0+'[1]táj.2'!O497</f>
        <v>0</v>
      </c>
      <c r="P497" s="660">
        <f>0+'[1]táj.2'!P497</f>
        <v>0</v>
      </c>
      <c r="Q497" s="11">
        <f>SUM(G497:P497)</f>
        <v>635</v>
      </c>
    </row>
    <row r="498" spans="1:17" ht="15" customHeight="1">
      <c r="A498" s="70"/>
      <c r="B498" s="70"/>
      <c r="C498" s="249" t="s">
        <v>578</v>
      </c>
      <c r="D498" s="727" t="s">
        <v>1177</v>
      </c>
      <c r="E498" s="384"/>
      <c r="F498" s="11"/>
      <c r="G498" s="660"/>
      <c r="H498" s="660"/>
      <c r="I498" s="660"/>
      <c r="J498" s="660"/>
      <c r="K498" s="660"/>
      <c r="L498" s="660"/>
      <c r="M498" s="660"/>
      <c r="N498" s="660"/>
      <c r="O498" s="660"/>
      <c r="P498" s="660"/>
      <c r="Q498" s="11"/>
    </row>
    <row r="499" spans="1:17" ht="15" customHeight="1">
      <c r="A499" s="70"/>
      <c r="B499" s="754"/>
      <c r="C499" s="755" t="s">
        <v>1080</v>
      </c>
      <c r="D499" s="731" t="s">
        <v>467</v>
      </c>
      <c r="E499" s="384"/>
      <c r="F499" s="11">
        <v>162306</v>
      </c>
      <c r="G499" s="660">
        <f>0+'[1]táj.2'!G499</f>
        <v>0</v>
      </c>
      <c r="H499" s="660">
        <f>0+'[1]táj.2'!H499</f>
        <v>0</v>
      </c>
      <c r="I499" s="660">
        <f>0+'[1]táj.2'!I499</f>
        <v>0</v>
      </c>
      <c r="J499" s="660">
        <f>0+'[1]táj.2'!J499</f>
        <v>0</v>
      </c>
      <c r="K499" s="660">
        <f>0+'[1]táj.2'!K499</f>
        <v>0</v>
      </c>
      <c r="L499" s="660">
        <f>38515+'[1]táj.2'!L499</f>
        <v>37026</v>
      </c>
      <c r="M499" s="660">
        <f>0+'[1]táj.2'!M499</f>
        <v>0</v>
      </c>
      <c r="N499" s="660">
        <f>0+'[1]táj.2'!N499</f>
        <v>0</v>
      </c>
      <c r="O499" s="660">
        <f>0+'[1]táj.2'!O499</f>
        <v>0</v>
      </c>
      <c r="P499" s="660">
        <f>0+'[1]táj.2'!P499</f>
        <v>0</v>
      </c>
      <c r="Q499" s="11">
        <f>SUM(G499:P499)</f>
        <v>37026</v>
      </c>
    </row>
    <row r="500" spans="1:17" ht="15" customHeight="1">
      <c r="A500" s="70"/>
      <c r="B500" s="754"/>
      <c r="C500" s="213"/>
      <c r="D500" s="133" t="s">
        <v>686</v>
      </c>
      <c r="E500" s="384"/>
      <c r="F500" s="11"/>
      <c r="G500" s="660"/>
      <c r="H500" s="660"/>
      <c r="I500" s="660"/>
      <c r="J500" s="660"/>
      <c r="K500" s="660"/>
      <c r="L500" s="660"/>
      <c r="M500" s="660"/>
      <c r="N500" s="660"/>
      <c r="O500" s="660"/>
      <c r="P500" s="660"/>
      <c r="Q500" s="11"/>
    </row>
    <row r="501" spans="1:17" ht="15" customHeight="1">
      <c r="A501" s="70"/>
      <c r="B501" s="754"/>
      <c r="C501" s="213" t="s">
        <v>955</v>
      </c>
      <c r="D501" s="731" t="s">
        <v>1032</v>
      </c>
      <c r="E501" s="384"/>
      <c r="F501" s="11">
        <v>162305</v>
      </c>
      <c r="G501" s="660">
        <f>0+'[1]táj.2'!G501</f>
        <v>0</v>
      </c>
      <c r="H501" s="660">
        <f>0+'[1]táj.2'!H501</f>
        <v>0</v>
      </c>
      <c r="I501" s="660">
        <f>0+'[1]táj.2'!I501</f>
        <v>0</v>
      </c>
      <c r="J501" s="660">
        <f>0+'[1]táj.2'!J501</f>
        <v>0</v>
      </c>
      <c r="K501" s="660">
        <f>0+'[1]táj.2'!K501</f>
        <v>0</v>
      </c>
      <c r="L501" s="660">
        <f>5100+'[1]táj.2'!L501</f>
        <v>5100</v>
      </c>
      <c r="M501" s="660">
        <f>0+'[1]táj.2'!M501</f>
        <v>0</v>
      </c>
      <c r="N501" s="660">
        <f>0+'[1]táj.2'!N501</f>
        <v>0</v>
      </c>
      <c r="O501" s="660">
        <f>0+'[1]táj.2'!O501</f>
        <v>0</v>
      </c>
      <c r="P501" s="660">
        <f>0+'[1]táj.2'!P501</f>
        <v>0</v>
      </c>
      <c r="Q501" s="11">
        <f>SUM(G501:P501)</f>
        <v>5100</v>
      </c>
    </row>
    <row r="502" spans="1:17" ht="15" customHeight="1">
      <c r="A502" s="70"/>
      <c r="B502" s="754"/>
      <c r="C502" s="249" t="s">
        <v>579</v>
      </c>
      <c r="D502" s="727" t="s">
        <v>580</v>
      </c>
      <c r="E502" s="384"/>
      <c r="F502" s="11"/>
      <c r="G502" s="660"/>
      <c r="H502" s="660"/>
      <c r="I502" s="660"/>
      <c r="J502" s="660"/>
      <c r="K502" s="660"/>
      <c r="L502" s="660"/>
      <c r="M502" s="660"/>
      <c r="N502" s="660"/>
      <c r="O502" s="660"/>
      <c r="P502" s="660"/>
      <c r="Q502" s="11"/>
    </row>
    <row r="503" spans="1:17" ht="13.5" customHeight="1">
      <c r="A503" s="70"/>
      <c r="B503" s="70"/>
      <c r="C503" s="213"/>
      <c r="D503" s="133" t="s">
        <v>686</v>
      </c>
      <c r="E503" s="384"/>
      <c r="F503" s="11"/>
      <c r="G503" s="660"/>
      <c r="H503" s="660"/>
      <c r="I503" s="660"/>
      <c r="J503" s="660"/>
      <c r="K503" s="660"/>
      <c r="L503" s="660"/>
      <c r="M503" s="660"/>
      <c r="N503" s="660"/>
      <c r="O503" s="660"/>
      <c r="P503" s="660"/>
      <c r="Q503" s="11"/>
    </row>
    <row r="504" spans="1:17" ht="13.5" customHeight="1">
      <c r="A504" s="70"/>
      <c r="B504" s="70"/>
      <c r="C504" s="213" t="s">
        <v>384</v>
      </c>
      <c r="D504" s="731" t="s">
        <v>1145</v>
      </c>
      <c r="E504" s="384"/>
      <c r="F504" s="11">
        <v>162415</v>
      </c>
      <c r="G504" s="660">
        <f>0+'[1]táj.2'!G504</f>
        <v>0</v>
      </c>
      <c r="H504" s="660">
        <f>0+'[1]táj.2'!H504</f>
        <v>0</v>
      </c>
      <c r="I504" s="660">
        <f>0+'[1]táj.2'!I504</f>
        <v>0</v>
      </c>
      <c r="J504" s="660">
        <f>0+'[1]táj.2'!J504</f>
        <v>0</v>
      </c>
      <c r="K504" s="660">
        <f>0+'[1]táj.2'!K504</f>
        <v>0</v>
      </c>
      <c r="L504" s="660">
        <f>7642+'[1]táj.2'!L504</f>
        <v>7642</v>
      </c>
      <c r="M504" s="660">
        <f>0+'[1]táj.2'!M504</f>
        <v>0</v>
      </c>
      <c r="N504" s="660">
        <f>0+'[1]táj.2'!N504</f>
        <v>0</v>
      </c>
      <c r="O504" s="660">
        <f>0+'[1]táj.2'!O504</f>
        <v>0</v>
      </c>
      <c r="P504" s="660">
        <f>0+'[1]táj.2'!P504</f>
        <v>0</v>
      </c>
      <c r="Q504" s="11">
        <f>SUM(G504:P504)</f>
        <v>7642</v>
      </c>
    </row>
    <row r="505" spans="1:17" ht="13.5" customHeight="1">
      <c r="A505" s="70"/>
      <c r="B505" s="70"/>
      <c r="C505" s="213" t="s">
        <v>385</v>
      </c>
      <c r="D505" s="114" t="s">
        <v>390</v>
      </c>
      <c r="E505" s="382"/>
      <c r="F505" s="11">
        <v>152470</v>
      </c>
      <c r="G505" s="660">
        <f>0+'[1]táj.2'!G505</f>
        <v>0</v>
      </c>
      <c r="H505" s="660">
        <f>0+'[1]táj.2'!H505</f>
        <v>0</v>
      </c>
      <c r="I505" s="660">
        <f>0+'[1]táj.2'!I505</f>
        <v>0</v>
      </c>
      <c r="J505" s="660">
        <f>0+'[1]táj.2'!J505</f>
        <v>0</v>
      </c>
      <c r="K505" s="660">
        <f>0+'[1]táj.2'!K505</f>
        <v>0</v>
      </c>
      <c r="L505" s="660">
        <f>381+'[1]táj.2'!L505</f>
        <v>381</v>
      </c>
      <c r="M505" s="660">
        <f>0+'[1]táj.2'!M505</f>
        <v>0</v>
      </c>
      <c r="N505" s="660">
        <f>0+'[1]táj.2'!N505</f>
        <v>0</v>
      </c>
      <c r="O505" s="660">
        <f>0+'[1]táj.2'!O505</f>
        <v>0</v>
      </c>
      <c r="P505" s="660">
        <f>0+'[1]táj.2'!P505</f>
        <v>0</v>
      </c>
      <c r="Q505" s="11">
        <f>SUM(G505:P505)</f>
        <v>381</v>
      </c>
    </row>
    <row r="506" spans="1:17" ht="13.5" customHeight="1">
      <c r="A506" s="70"/>
      <c r="B506" s="70"/>
      <c r="C506" s="213" t="s">
        <v>386</v>
      </c>
      <c r="D506" s="114" t="s">
        <v>485</v>
      </c>
      <c r="E506" s="384"/>
      <c r="F506" s="11">
        <v>162418</v>
      </c>
      <c r="G506" s="660">
        <f>0+'[1]táj.2'!G506</f>
        <v>0</v>
      </c>
      <c r="H506" s="660">
        <f>0+'[1]táj.2'!H506</f>
        <v>0</v>
      </c>
      <c r="I506" s="660">
        <f>3387+'[1]táj.2'!I506</f>
        <v>3387</v>
      </c>
      <c r="J506" s="660">
        <f>0+'[1]táj.2'!J506</f>
        <v>0</v>
      </c>
      <c r="K506" s="660">
        <f>0+'[1]táj.2'!K506</f>
        <v>0</v>
      </c>
      <c r="L506" s="660">
        <f>0+'[1]táj.2'!L506</f>
        <v>0</v>
      </c>
      <c r="M506" s="660">
        <f>0+'[1]táj.2'!M506</f>
        <v>0</v>
      </c>
      <c r="N506" s="660">
        <f>0+'[1]táj.2'!N506</f>
        <v>0</v>
      </c>
      <c r="O506" s="660">
        <f>0+'[1]táj.2'!O506</f>
        <v>0</v>
      </c>
      <c r="P506" s="660">
        <f>0+'[1]táj.2'!P506</f>
        <v>0</v>
      </c>
      <c r="Q506" s="11">
        <f>SUM(G506:P506)</f>
        <v>3387</v>
      </c>
    </row>
    <row r="507" spans="1:17" ht="13.5" customHeight="1">
      <c r="A507" s="70"/>
      <c r="B507" s="70"/>
      <c r="C507" s="249" t="s">
        <v>554</v>
      </c>
      <c r="D507" s="136" t="s">
        <v>855</v>
      </c>
      <c r="E507" s="384"/>
      <c r="F507" s="11"/>
      <c r="G507" s="660"/>
      <c r="H507" s="660"/>
      <c r="I507" s="660"/>
      <c r="J507" s="660"/>
      <c r="K507" s="660"/>
      <c r="L507" s="660"/>
      <c r="M507" s="660"/>
      <c r="N507" s="660"/>
      <c r="O507" s="660"/>
      <c r="P507" s="660"/>
      <c r="Q507" s="11"/>
    </row>
    <row r="508" spans="1:17" ht="15.75" customHeight="1">
      <c r="A508" s="70"/>
      <c r="B508" s="70"/>
      <c r="C508" s="249"/>
      <c r="D508" s="133" t="s">
        <v>686</v>
      </c>
      <c r="E508" s="384"/>
      <c r="F508" s="11"/>
      <c r="G508" s="660"/>
      <c r="H508" s="660"/>
      <c r="I508" s="660"/>
      <c r="J508" s="660"/>
      <c r="K508" s="660"/>
      <c r="L508" s="660"/>
      <c r="M508" s="660"/>
      <c r="N508" s="660"/>
      <c r="O508" s="660"/>
      <c r="P508" s="660"/>
      <c r="Q508" s="11"/>
    </row>
    <row r="509" spans="1:17" ht="15.75" customHeight="1">
      <c r="A509" s="70"/>
      <c r="B509" s="70"/>
      <c r="C509" s="213" t="s">
        <v>927</v>
      </c>
      <c r="D509" s="756" t="s">
        <v>140</v>
      </c>
      <c r="E509" s="250"/>
      <c r="F509" s="11">
        <v>154518</v>
      </c>
      <c r="G509" s="660">
        <f>0+'[1]táj.2'!G509</f>
        <v>0</v>
      </c>
      <c r="H509" s="660">
        <f>0+'[1]táj.2'!H509</f>
        <v>0</v>
      </c>
      <c r="I509" s="660">
        <f>0+'[1]táj.2'!I509</f>
        <v>0</v>
      </c>
      <c r="J509" s="660">
        <f>0+'[1]táj.2'!J509</f>
        <v>0</v>
      </c>
      <c r="K509" s="660">
        <f>0+'[1]táj.2'!K509</f>
        <v>0</v>
      </c>
      <c r="L509" s="660">
        <f>5888+'[1]táj.2'!L509</f>
        <v>5888</v>
      </c>
      <c r="M509" s="660">
        <f>0+'[1]táj.2'!M509</f>
        <v>0</v>
      </c>
      <c r="N509" s="660">
        <f>0+'[1]táj.2'!N509</f>
        <v>0</v>
      </c>
      <c r="O509" s="660">
        <f>0+'[1]táj.2'!O509</f>
        <v>0</v>
      </c>
      <c r="P509" s="660">
        <f>0+'[1]táj.2'!P509</f>
        <v>0</v>
      </c>
      <c r="Q509" s="11">
        <f>SUM(G509:P509)</f>
        <v>5888</v>
      </c>
    </row>
    <row r="510" spans="1:17" ht="15.75" customHeight="1">
      <c r="A510" s="70"/>
      <c r="B510" s="70"/>
      <c r="C510" s="213" t="s">
        <v>929</v>
      </c>
      <c r="D510" s="133" t="s">
        <v>1079</v>
      </c>
      <c r="E510" s="384"/>
      <c r="F510" s="11">
        <v>154513</v>
      </c>
      <c r="G510" s="660">
        <f>0+'[1]táj.2'!G510</f>
        <v>0</v>
      </c>
      <c r="H510" s="660">
        <f>0+'[1]táj.2'!H510</f>
        <v>0</v>
      </c>
      <c r="I510" s="660">
        <f>0+'[1]táj.2'!I510</f>
        <v>0</v>
      </c>
      <c r="J510" s="660">
        <f>0+'[1]táj.2'!J510</f>
        <v>0</v>
      </c>
      <c r="K510" s="660">
        <f>0+'[1]táj.2'!K510</f>
        <v>0</v>
      </c>
      <c r="L510" s="660">
        <f>2526+'[1]táj.2'!L510</f>
        <v>2526</v>
      </c>
      <c r="M510" s="660">
        <f>0+'[1]táj.2'!M510</f>
        <v>0</v>
      </c>
      <c r="N510" s="660">
        <f>0+'[1]táj.2'!N510</f>
        <v>0</v>
      </c>
      <c r="O510" s="660">
        <f>0+'[1]táj.2'!O510</f>
        <v>0</v>
      </c>
      <c r="P510" s="660">
        <f>0+'[1]táj.2'!P510</f>
        <v>0</v>
      </c>
      <c r="Q510" s="11">
        <f>SUM(G510:P510)</f>
        <v>2526</v>
      </c>
    </row>
    <row r="511" spans="1:17" ht="15.75" customHeight="1">
      <c r="A511" s="70"/>
      <c r="B511" s="70"/>
      <c r="C511" s="213" t="s">
        <v>930</v>
      </c>
      <c r="D511" s="133" t="s">
        <v>1140</v>
      </c>
      <c r="E511" s="384"/>
      <c r="F511" s="11">
        <v>162502</v>
      </c>
      <c r="G511" s="660">
        <f>0+'[1]táj.2'!G511</f>
        <v>0</v>
      </c>
      <c r="H511" s="660">
        <f>0+'[1]táj.2'!H511</f>
        <v>0</v>
      </c>
      <c r="I511" s="660">
        <f>0+'[1]táj.2'!I511</f>
        <v>0</v>
      </c>
      <c r="J511" s="660">
        <f>0+'[1]táj.2'!J511</f>
        <v>0</v>
      </c>
      <c r="K511" s="660">
        <f>0+'[1]táj.2'!K511</f>
        <v>0</v>
      </c>
      <c r="L511" s="660">
        <f>545+'[1]táj.2'!L511</f>
        <v>545</v>
      </c>
      <c r="M511" s="660">
        <f>0+'[1]táj.2'!M511</f>
        <v>0</v>
      </c>
      <c r="N511" s="660">
        <f>0+'[1]táj.2'!N511</f>
        <v>0</v>
      </c>
      <c r="O511" s="660">
        <f>0+'[1]táj.2'!O511</f>
        <v>0</v>
      </c>
      <c r="P511" s="660">
        <f>0+'[1]táj.2'!P511</f>
        <v>0</v>
      </c>
      <c r="Q511" s="11">
        <f>SUM(G511:P511)</f>
        <v>545</v>
      </c>
    </row>
    <row r="512" spans="1:17" ht="16.5" customHeight="1">
      <c r="A512" s="70"/>
      <c r="B512" s="70"/>
      <c r="C512" s="249" t="s">
        <v>553</v>
      </c>
      <c r="D512" s="727" t="s">
        <v>1220</v>
      </c>
      <c r="E512" s="384"/>
      <c r="F512" s="11"/>
      <c r="G512" s="660"/>
      <c r="H512" s="660"/>
      <c r="I512" s="660"/>
      <c r="J512" s="660"/>
      <c r="K512" s="660"/>
      <c r="L512" s="660"/>
      <c r="M512" s="660"/>
      <c r="N512" s="660"/>
      <c r="O512" s="660"/>
      <c r="P512" s="660"/>
      <c r="Q512" s="11"/>
    </row>
    <row r="513" spans="1:17" ht="16.5" customHeight="1">
      <c r="A513" s="70"/>
      <c r="B513" s="70"/>
      <c r="C513" s="213" t="s">
        <v>73</v>
      </c>
      <c r="D513" s="731" t="s">
        <v>75</v>
      </c>
      <c r="E513" s="384"/>
      <c r="F513" s="11">
        <v>162636</v>
      </c>
      <c r="G513" s="660">
        <f>0+'[1]táj.2'!G513</f>
        <v>0</v>
      </c>
      <c r="H513" s="660">
        <f>0+'[1]táj.2'!H513</f>
        <v>0</v>
      </c>
      <c r="I513" s="660">
        <f>0+'[1]táj.2'!I513</f>
        <v>0</v>
      </c>
      <c r="J513" s="660">
        <f>0+'[1]táj.2'!J513</f>
        <v>0</v>
      </c>
      <c r="K513" s="660">
        <f>0+'[1]táj.2'!K513</f>
        <v>0</v>
      </c>
      <c r="L513" s="660">
        <f>7000+'[1]táj.2'!L513</f>
        <v>7000</v>
      </c>
      <c r="M513" s="660">
        <f>0+'[1]táj.2'!M513</f>
        <v>0</v>
      </c>
      <c r="N513" s="660">
        <f>0+'[1]táj.2'!N513</f>
        <v>0</v>
      </c>
      <c r="O513" s="660">
        <f>0+'[1]táj.2'!O513</f>
        <v>0</v>
      </c>
      <c r="P513" s="660">
        <f>0+'[1]táj.2'!P513</f>
        <v>0</v>
      </c>
      <c r="Q513" s="11">
        <f>SUM(G513:P513)</f>
        <v>7000</v>
      </c>
    </row>
    <row r="514" spans="1:17" ht="16.5" customHeight="1">
      <c r="A514" s="70"/>
      <c r="B514" s="70"/>
      <c r="C514" s="213" t="s">
        <v>74</v>
      </c>
      <c r="D514" s="731" t="s">
        <v>76</v>
      </c>
      <c r="E514" s="384"/>
      <c r="F514" s="11">
        <v>162637</v>
      </c>
      <c r="G514" s="660">
        <f>0+'[1]táj.2'!G514</f>
        <v>0</v>
      </c>
      <c r="H514" s="660">
        <f>0+'[1]táj.2'!H514</f>
        <v>0</v>
      </c>
      <c r="I514" s="660">
        <f>0+'[1]táj.2'!I514</f>
        <v>0</v>
      </c>
      <c r="J514" s="660">
        <f>0+'[1]táj.2'!J514</f>
        <v>0</v>
      </c>
      <c r="K514" s="660">
        <f>0+'[1]táj.2'!K514</f>
        <v>0</v>
      </c>
      <c r="L514" s="660">
        <f>8000+'[1]táj.2'!L514</f>
        <v>8000</v>
      </c>
      <c r="M514" s="660">
        <f>0+'[1]táj.2'!M514</f>
        <v>0</v>
      </c>
      <c r="N514" s="660">
        <f>0+'[1]táj.2'!N514</f>
        <v>0</v>
      </c>
      <c r="O514" s="660">
        <f>0+'[1]táj.2'!O514</f>
        <v>0</v>
      </c>
      <c r="P514" s="660">
        <f>0+'[1]táj.2'!P514</f>
        <v>0</v>
      </c>
      <c r="Q514" s="11">
        <f>SUM(G514:P514)</f>
        <v>8000</v>
      </c>
    </row>
    <row r="515" spans="1:17" ht="16.5" customHeight="1">
      <c r="A515" s="70"/>
      <c r="B515" s="70"/>
      <c r="C515" s="249"/>
      <c r="D515" s="133" t="s">
        <v>686</v>
      </c>
      <c r="E515" s="384"/>
      <c r="F515" s="11"/>
      <c r="G515" s="660"/>
      <c r="H515" s="660"/>
      <c r="I515" s="660"/>
      <c r="J515" s="660"/>
      <c r="K515" s="660"/>
      <c r="L515" s="660"/>
      <c r="M515" s="660"/>
      <c r="N515" s="660"/>
      <c r="O515" s="660"/>
      <c r="P515" s="660"/>
      <c r="Q515" s="11"/>
    </row>
    <row r="516" spans="1:17" ht="19.5" customHeight="1">
      <c r="A516" s="70"/>
      <c r="B516" s="70"/>
      <c r="C516" s="260" t="s">
        <v>314</v>
      </c>
      <c r="D516" s="731" t="s">
        <v>383</v>
      </c>
      <c r="E516" s="250"/>
      <c r="F516" s="11">
        <v>162601</v>
      </c>
      <c r="G516" s="660">
        <f>0+'[1]táj.2'!G516</f>
        <v>0</v>
      </c>
      <c r="H516" s="660">
        <f>0+'[1]táj.2'!H516</f>
        <v>0</v>
      </c>
      <c r="I516" s="660">
        <f>0+'[1]táj.2'!I516</f>
        <v>0</v>
      </c>
      <c r="J516" s="660">
        <f>0+'[1]táj.2'!J516</f>
        <v>0</v>
      </c>
      <c r="K516" s="660">
        <f>0+'[1]táj.2'!K516</f>
        <v>0</v>
      </c>
      <c r="L516" s="660">
        <f>5726+'[1]táj.2'!L516</f>
        <v>5726</v>
      </c>
      <c r="M516" s="660">
        <f>0+'[1]táj.2'!M516</f>
        <v>0</v>
      </c>
      <c r="N516" s="660">
        <f>0+'[1]táj.2'!N516</f>
        <v>0</v>
      </c>
      <c r="O516" s="660">
        <f>0+'[1]táj.2'!O516</f>
        <v>0</v>
      </c>
      <c r="P516" s="660">
        <f>0+'[1]táj.2'!P516</f>
        <v>0</v>
      </c>
      <c r="Q516" s="11">
        <f>SUM(G516:P516)</f>
        <v>5726</v>
      </c>
    </row>
    <row r="517" spans="1:17" ht="15.75" customHeight="1">
      <c r="A517" s="70"/>
      <c r="B517" s="70"/>
      <c r="C517" s="249" t="s">
        <v>555</v>
      </c>
      <c r="D517" s="727" t="s">
        <v>556</v>
      </c>
      <c r="E517" s="382"/>
      <c r="F517" s="11"/>
      <c r="G517" s="660"/>
      <c r="H517" s="660"/>
      <c r="I517" s="660"/>
      <c r="J517" s="660"/>
      <c r="K517" s="660"/>
      <c r="L517" s="660"/>
      <c r="M517" s="660"/>
      <c r="N517" s="660"/>
      <c r="O517" s="660"/>
      <c r="P517" s="660"/>
      <c r="Q517" s="11"/>
    </row>
    <row r="518" spans="1:17" ht="17.25" customHeight="1">
      <c r="A518" s="70"/>
      <c r="B518" s="70"/>
      <c r="C518" s="260"/>
      <c r="D518" s="133" t="s">
        <v>686</v>
      </c>
      <c r="E518" s="382"/>
      <c r="F518" s="11"/>
      <c r="G518" s="660"/>
      <c r="H518" s="660"/>
      <c r="I518" s="660"/>
      <c r="J518" s="660"/>
      <c r="K518" s="660"/>
      <c r="L518" s="660"/>
      <c r="M518" s="660"/>
      <c r="N518" s="660"/>
      <c r="O518" s="660"/>
      <c r="P518" s="660"/>
      <c r="Q518" s="11"/>
    </row>
    <row r="519" spans="1:17" ht="26.25" customHeight="1">
      <c r="A519" s="70"/>
      <c r="B519" s="70"/>
      <c r="C519" s="260" t="s">
        <v>850</v>
      </c>
      <c r="D519" s="757" t="s">
        <v>380</v>
      </c>
      <c r="E519" s="382"/>
      <c r="F519" s="11">
        <v>162701</v>
      </c>
      <c r="G519" s="660">
        <f>0+'[1]táj.2'!G519</f>
        <v>0</v>
      </c>
      <c r="H519" s="660">
        <f>0+'[1]táj.2'!H519</f>
        <v>0</v>
      </c>
      <c r="I519" s="660">
        <f>0+'[1]táj.2'!I519</f>
        <v>9000</v>
      </c>
      <c r="J519" s="660">
        <f>0+'[1]táj.2'!J519</f>
        <v>0</v>
      </c>
      <c r="K519" s="660">
        <f>0+'[1]táj.2'!K519</f>
        <v>0</v>
      </c>
      <c r="L519" s="660">
        <f>10014+'[1]táj.2'!L519</f>
        <v>1014</v>
      </c>
      <c r="M519" s="660">
        <f>0+'[1]táj.2'!M519</f>
        <v>0</v>
      </c>
      <c r="N519" s="660">
        <f>0+'[1]táj.2'!N519</f>
        <v>0</v>
      </c>
      <c r="O519" s="660">
        <f>0+'[1]táj.2'!O519</f>
        <v>0</v>
      </c>
      <c r="P519" s="660">
        <f>0+'[1]táj.2'!P519</f>
        <v>0</v>
      </c>
      <c r="Q519" s="11">
        <f>SUM(G519:P519)</f>
        <v>10014</v>
      </c>
    </row>
    <row r="520" spans="1:17" ht="16.5" customHeight="1">
      <c r="A520" s="70"/>
      <c r="B520" s="70"/>
      <c r="C520" s="249" t="s">
        <v>557</v>
      </c>
      <c r="D520" s="727" t="s">
        <v>558</v>
      </c>
      <c r="E520" s="382"/>
      <c r="F520" s="11"/>
      <c r="G520" s="660"/>
      <c r="H520" s="660"/>
      <c r="I520" s="660"/>
      <c r="J520" s="660"/>
      <c r="K520" s="660"/>
      <c r="L520" s="660"/>
      <c r="M520" s="660"/>
      <c r="N520" s="660"/>
      <c r="O520" s="660"/>
      <c r="P520" s="660"/>
      <c r="Q520" s="11"/>
    </row>
    <row r="521" spans="1:17" ht="15.75" customHeight="1">
      <c r="A521" s="70"/>
      <c r="B521" s="70"/>
      <c r="C521" s="249" t="s">
        <v>559</v>
      </c>
      <c r="D521" s="727" t="s">
        <v>560</v>
      </c>
      <c r="E521" s="382"/>
      <c r="F521" s="11"/>
      <c r="G521" s="660"/>
      <c r="H521" s="660"/>
      <c r="I521" s="660"/>
      <c r="J521" s="660"/>
      <c r="K521" s="660"/>
      <c r="L521" s="660"/>
      <c r="M521" s="660"/>
      <c r="N521" s="660"/>
      <c r="O521" s="660"/>
      <c r="P521" s="660"/>
      <c r="Q521" s="11"/>
    </row>
    <row r="522" spans="1:17" ht="15.75" customHeight="1">
      <c r="A522" s="70"/>
      <c r="B522" s="70"/>
      <c r="C522" s="213" t="s">
        <v>330</v>
      </c>
      <c r="D522" s="731" t="s">
        <v>493</v>
      </c>
      <c r="E522" s="382"/>
      <c r="F522" s="11">
        <v>164921</v>
      </c>
      <c r="G522" s="660">
        <f>0+'[1]táj.2'!G522</f>
        <v>0</v>
      </c>
      <c r="H522" s="660">
        <f>0+'[1]táj.2'!H522</f>
        <v>0</v>
      </c>
      <c r="I522" s="660">
        <f>0+'[1]táj.2'!I522</f>
        <v>0</v>
      </c>
      <c r="J522" s="660">
        <f>0+'[1]táj.2'!J522</f>
        <v>0</v>
      </c>
      <c r="K522" s="660">
        <f>0+'[1]táj.2'!K522</f>
        <v>0</v>
      </c>
      <c r="L522" s="660">
        <f>0+'[1]táj.2'!L522</f>
        <v>0</v>
      </c>
      <c r="M522" s="660">
        <f>35000+'[1]táj.2'!M522</f>
        <v>33323</v>
      </c>
      <c r="N522" s="660">
        <f>0+'[1]táj.2'!N522</f>
        <v>0</v>
      </c>
      <c r="O522" s="660">
        <f>0+'[1]táj.2'!O522</f>
        <v>0</v>
      </c>
      <c r="P522" s="660">
        <f>0+'[1]táj.2'!P522</f>
        <v>0</v>
      </c>
      <c r="Q522" s="11">
        <f aca="true" t="shared" si="30" ref="Q522:Q530">SUM(G522:P522)</f>
        <v>33323</v>
      </c>
    </row>
    <row r="523" spans="1:17" ht="15.75" customHeight="1">
      <c r="A523" s="70"/>
      <c r="B523" s="70"/>
      <c r="C523" s="213" t="s">
        <v>509</v>
      </c>
      <c r="D523" s="629" t="s">
        <v>1277</v>
      </c>
      <c r="E523" s="384"/>
      <c r="F523" s="11">
        <v>162929</v>
      </c>
      <c r="G523" s="660">
        <f>0+'[1]táj.2'!G523</f>
        <v>0</v>
      </c>
      <c r="H523" s="660">
        <f>0+'[1]táj.2'!H523</f>
        <v>0</v>
      </c>
      <c r="I523" s="660">
        <f>0+'[1]táj.2'!I523</f>
        <v>0</v>
      </c>
      <c r="J523" s="660">
        <f>0+'[1]táj.2'!J523</f>
        <v>0</v>
      </c>
      <c r="K523" s="660">
        <f>0+'[1]táj.2'!K523</f>
        <v>0</v>
      </c>
      <c r="L523" s="660">
        <f>500+'[1]táj.2'!L523</f>
        <v>500</v>
      </c>
      <c r="M523" s="660">
        <f>0+'[1]táj.2'!M523</f>
        <v>0</v>
      </c>
      <c r="N523" s="660">
        <f>0+'[1]táj.2'!N523</f>
        <v>0</v>
      </c>
      <c r="O523" s="660">
        <f>0+'[1]táj.2'!O523</f>
        <v>0</v>
      </c>
      <c r="P523" s="660">
        <f>0+'[1]táj.2'!P523</f>
        <v>0</v>
      </c>
      <c r="Q523" s="11">
        <f t="shared" si="30"/>
        <v>500</v>
      </c>
    </row>
    <row r="524" spans="1:17" ht="15.75" customHeight="1">
      <c r="A524" s="70"/>
      <c r="B524" s="70"/>
      <c r="C524" s="213" t="s">
        <v>1132</v>
      </c>
      <c r="D524" s="629" t="s">
        <v>1286</v>
      </c>
      <c r="E524" s="384"/>
      <c r="F524" s="11">
        <v>164922</v>
      </c>
      <c r="G524" s="660">
        <f>0+'[1]táj.2'!G524</f>
        <v>0</v>
      </c>
      <c r="H524" s="660">
        <f>0+'[1]táj.2'!H524</f>
        <v>0</v>
      </c>
      <c r="I524" s="660">
        <f>800+'[1]táj.2'!I524</f>
        <v>0</v>
      </c>
      <c r="J524" s="660">
        <f>0+'[1]táj.2'!J524</f>
        <v>0</v>
      </c>
      <c r="K524" s="660">
        <f>0+'[1]táj.2'!K524</f>
        <v>0</v>
      </c>
      <c r="L524" s="660">
        <f>2000+'[1]táj.2'!L524</f>
        <v>0</v>
      </c>
      <c r="M524" s="660">
        <f>4101+'[1]táj.2'!M524</f>
        <v>0</v>
      </c>
      <c r="N524" s="660">
        <f>0+'[1]táj.2'!N524</f>
        <v>6901</v>
      </c>
      <c r="O524" s="660">
        <f>0+'[1]táj.2'!O524</f>
        <v>0</v>
      </c>
      <c r="P524" s="660">
        <f>0+'[1]táj.2'!P524</f>
        <v>0</v>
      </c>
      <c r="Q524" s="11">
        <f t="shared" si="30"/>
        <v>6901</v>
      </c>
    </row>
    <row r="525" spans="1:17" ht="27.75" customHeight="1">
      <c r="A525" s="70"/>
      <c r="B525" s="70"/>
      <c r="C525" s="213" t="s">
        <v>1133</v>
      </c>
      <c r="D525" s="629" t="s">
        <v>1289</v>
      </c>
      <c r="E525" s="382"/>
      <c r="F525" s="11">
        <v>164923</v>
      </c>
      <c r="G525" s="660">
        <f>0+'[1]táj.2'!G525</f>
        <v>0</v>
      </c>
      <c r="H525" s="660">
        <f>0+'[1]táj.2'!H525</f>
        <v>0</v>
      </c>
      <c r="I525" s="660">
        <f>0+'[1]táj.2'!I525</f>
        <v>0</v>
      </c>
      <c r="J525" s="660">
        <f>0+'[1]táj.2'!J525</f>
        <v>0</v>
      </c>
      <c r="K525" s="660">
        <f>0+'[1]táj.2'!K525</f>
        <v>0</v>
      </c>
      <c r="L525" s="660">
        <f>0+'[1]táj.2'!L525</f>
        <v>0</v>
      </c>
      <c r="M525" s="660">
        <f>1700+'[1]táj.2'!M525</f>
        <v>1700</v>
      </c>
      <c r="N525" s="660">
        <f>0+'[1]táj.2'!N525</f>
        <v>0</v>
      </c>
      <c r="O525" s="660">
        <f>0+'[1]táj.2'!O525</f>
        <v>0</v>
      </c>
      <c r="P525" s="660">
        <f>0+'[1]táj.2'!P525</f>
        <v>0</v>
      </c>
      <c r="Q525" s="11">
        <f t="shared" si="30"/>
        <v>1700</v>
      </c>
    </row>
    <row r="526" spans="1:17" ht="15" customHeight="1">
      <c r="A526" s="70"/>
      <c r="B526" s="70"/>
      <c r="C526" s="213" t="s">
        <v>1134</v>
      </c>
      <c r="D526" s="629" t="s">
        <v>1288</v>
      </c>
      <c r="E526" s="382"/>
      <c r="F526" s="11"/>
      <c r="G526" s="660">
        <f>0+'[1]táj.2'!G526</f>
        <v>0</v>
      </c>
      <c r="H526" s="660">
        <f>0+'[1]táj.2'!H526</f>
        <v>0</v>
      </c>
      <c r="I526" s="660">
        <f>0+'[1]táj.2'!I526</f>
        <v>0</v>
      </c>
      <c r="J526" s="660">
        <f>0+'[1]táj.2'!J526</f>
        <v>0</v>
      </c>
      <c r="K526" s="660">
        <f>0+'[1]táj.2'!K526</f>
        <v>0</v>
      </c>
      <c r="L526" s="660">
        <f>300+'[1]táj.2'!L526</f>
        <v>300</v>
      </c>
      <c r="M526" s="660">
        <f>0+'[1]táj.2'!M526</f>
        <v>0</v>
      </c>
      <c r="N526" s="660">
        <f>0+'[1]táj.2'!N526</f>
        <v>0</v>
      </c>
      <c r="O526" s="660">
        <f>0+'[1]táj.2'!O526</f>
        <v>0</v>
      </c>
      <c r="P526" s="660">
        <f>0+'[1]táj.2'!P526</f>
        <v>0</v>
      </c>
      <c r="Q526" s="11">
        <f t="shared" si="30"/>
        <v>300</v>
      </c>
    </row>
    <row r="527" spans="1:17" ht="15" customHeight="1">
      <c r="A527" s="70"/>
      <c r="B527" s="70"/>
      <c r="C527" s="213" t="s">
        <v>707</v>
      </c>
      <c r="D527" s="629" t="s">
        <v>68</v>
      </c>
      <c r="E527" s="382"/>
      <c r="F527" s="11">
        <v>162903</v>
      </c>
      <c r="G527" s="660">
        <f>0+'[1]táj.2'!G527</f>
        <v>0</v>
      </c>
      <c r="H527" s="660">
        <f>0+'[1]táj.2'!H527</f>
        <v>0</v>
      </c>
      <c r="I527" s="660">
        <f>0+'[1]táj.2'!I527</f>
        <v>0</v>
      </c>
      <c r="J527" s="660">
        <f>0+'[1]táj.2'!J527</f>
        <v>0</v>
      </c>
      <c r="K527" s="660">
        <f>0+'[1]táj.2'!K527</f>
        <v>5500</v>
      </c>
      <c r="L527" s="660">
        <f>0+'[1]táj.2'!L527</f>
        <v>14500</v>
      </c>
      <c r="M527" s="660">
        <f>25000+'[1]táj.2'!M527</f>
        <v>5000</v>
      </c>
      <c r="N527" s="660">
        <f>0+'[1]táj.2'!N527</f>
        <v>0</v>
      </c>
      <c r="O527" s="660">
        <f>0+'[1]táj.2'!O527</f>
        <v>0</v>
      </c>
      <c r="P527" s="660">
        <f>0+'[1]táj.2'!P527</f>
        <v>0</v>
      </c>
      <c r="Q527" s="11">
        <f t="shared" si="30"/>
        <v>25000</v>
      </c>
    </row>
    <row r="528" spans="1:17" ht="17.25" customHeight="1">
      <c r="A528" s="70"/>
      <c r="B528" s="70"/>
      <c r="C528" s="313" t="s">
        <v>10</v>
      </c>
      <c r="D528" s="629" t="s">
        <v>70</v>
      </c>
      <c r="E528" s="382"/>
      <c r="F528" s="11">
        <v>164924</v>
      </c>
      <c r="G528" s="660">
        <f>0+'[1]táj.2'!G528</f>
        <v>0</v>
      </c>
      <c r="H528" s="660">
        <f>0+'[1]táj.2'!H528</f>
        <v>0</v>
      </c>
      <c r="I528" s="660">
        <f>0+'[1]táj.2'!I528</f>
        <v>213</v>
      </c>
      <c r="J528" s="660">
        <f>0+'[1]táj.2'!J528</f>
        <v>0</v>
      </c>
      <c r="K528" s="660">
        <f>0+'[1]táj.2'!K528</f>
        <v>0</v>
      </c>
      <c r="L528" s="660">
        <f>0+'[1]táj.2'!L528</f>
        <v>0</v>
      </c>
      <c r="M528" s="660">
        <f>13000+'[1]táj.2'!M528</f>
        <v>12787</v>
      </c>
      <c r="N528" s="660">
        <f>0+'[1]táj.2'!N528</f>
        <v>0</v>
      </c>
      <c r="O528" s="660">
        <f>0+'[1]táj.2'!O528</f>
        <v>0</v>
      </c>
      <c r="P528" s="660">
        <f>0+'[1]táj.2'!P528</f>
        <v>0</v>
      </c>
      <c r="Q528" s="11">
        <f t="shared" si="30"/>
        <v>13000</v>
      </c>
    </row>
    <row r="529" spans="1:17" ht="28.5" customHeight="1">
      <c r="A529" s="70"/>
      <c r="B529" s="70"/>
      <c r="C529" s="313" t="s">
        <v>45</v>
      </c>
      <c r="D529" s="629" t="s">
        <v>69</v>
      </c>
      <c r="E529" s="382"/>
      <c r="F529" s="11">
        <v>164925</v>
      </c>
      <c r="G529" s="660">
        <f>0+'[1]táj.2'!G529</f>
        <v>0</v>
      </c>
      <c r="H529" s="660">
        <f>0+'[1]táj.2'!H529</f>
        <v>0</v>
      </c>
      <c r="I529" s="660">
        <f>0+'[1]táj.2'!I529</f>
        <v>0</v>
      </c>
      <c r="J529" s="660">
        <f>0+'[1]táj.2'!J529</f>
        <v>0</v>
      </c>
      <c r="K529" s="660">
        <f>0+'[1]táj.2'!K529</f>
        <v>0</v>
      </c>
      <c r="L529" s="660">
        <f>0+'[1]táj.2'!L529</f>
        <v>0</v>
      </c>
      <c r="M529" s="660">
        <f>3000+'[1]táj.2'!M529</f>
        <v>3000</v>
      </c>
      <c r="N529" s="660">
        <f>0+'[1]táj.2'!N529</f>
        <v>0</v>
      </c>
      <c r="O529" s="660">
        <f>0+'[1]táj.2'!O529</f>
        <v>0</v>
      </c>
      <c r="P529" s="660">
        <f>0+'[1]táj.2'!P529</f>
        <v>0</v>
      </c>
      <c r="Q529" s="11">
        <f t="shared" si="30"/>
        <v>3000</v>
      </c>
    </row>
    <row r="530" spans="1:17" ht="21" customHeight="1">
      <c r="A530" s="70"/>
      <c r="B530" s="70"/>
      <c r="C530" s="313" t="s">
        <v>51</v>
      </c>
      <c r="D530" s="629" t="s">
        <v>71</v>
      </c>
      <c r="E530" s="382"/>
      <c r="F530" s="11">
        <v>162930</v>
      </c>
      <c r="G530" s="660">
        <f>0+'[1]táj.2'!G530</f>
        <v>0</v>
      </c>
      <c r="H530" s="660">
        <f>0+'[1]táj.2'!H530</f>
        <v>0</v>
      </c>
      <c r="I530" s="660">
        <f>0+'[1]táj.2'!I530</f>
        <v>0</v>
      </c>
      <c r="J530" s="660">
        <f>0+'[1]táj.2'!J530</f>
        <v>0</v>
      </c>
      <c r="K530" s="660">
        <f>0+'[1]táj.2'!K530</f>
        <v>0</v>
      </c>
      <c r="L530" s="660">
        <f>2400+'[1]táj.2'!L530</f>
        <v>2400</v>
      </c>
      <c r="M530" s="660">
        <f>0+'[1]táj.2'!M530</f>
        <v>0</v>
      </c>
      <c r="N530" s="660">
        <f>0+'[1]táj.2'!N530</f>
        <v>0</v>
      </c>
      <c r="O530" s="660">
        <f>0+'[1]táj.2'!O530</f>
        <v>0</v>
      </c>
      <c r="P530" s="660">
        <f>0+'[1]táj.2'!P530</f>
        <v>0</v>
      </c>
      <c r="Q530" s="11">
        <f t="shared" si="30"/>
        <v>2400</v>
      </c>
    </row>
    <row r="531" spans="1:17" ht="15.75" customHeight="1">
      <c r="A531" s="70"/>
      <c r="B531" s="70"/>
      <c r="C531" s="249"/>
      <c r="D531" s="133" t="s">
        <v>686</v>
      </c>
      <c r="E531" s="382"/>
      <c r="F531" s="11"/>
      <c r="G531" s="660"/>
      <c r="H531" s="660"/>
      <c r="I531" s="660"/>
      <c r="J531" s="660"/>
      <c r="K531" s="660"/>
      <c r="L531" s="660"/>
      <c r="M531" s="660"/>
      <c r="N531" s="660"/>
      <c r="O531" s="660"/>
      <c r="P531" s="660"/>
      <c r="Q531" s="11"/>
    </row>
    <row r="532" spans="1:17" ht="38.25" customHeight="1">
      <c r="A532" s="70"/>
      <c r="B532" s="70"/>
      <c r="C532" s="70" t="s">
        <v>387</v>
      </c>
      <c r="D532" s="758" t="s">
        <v>905</v>
      </c>
      <c r="E532" s="384"/>
      <c r="F532" s="11">
        <v>174902</v>
      </c>
      <c r="G532" s="660">
        <f>0+'[1]táj.2'!G532</f>
        <v>0</v>
      </c>
      <c r="H532" s="660">
        <f>0+'[1]táj.2'!H532</f>
        <v>0</v>
      </c>
      <c r="I532" s="660">
        <f>0+'[1]táj.2'!I532</f>
        <v>0</v>
      </c>
      <c r="J532" s="660">
        <f>0+'[1]táj.2'!J532</f>
        <v>0</v>
      </c>
      <c r="K532" s="660">
        <f>0+'[1]táj.2'!K532</f>
        <v>0</v>
      </c>
      <c r="L532" s="660">
        <f>0+'[1]táj.2'!L532</f>
        <v>0</v>
      </c>
      <c r="M532" s="660">
        <f>53637+'[1]táj.2'!M532</f>
        <v>55314</v>
      </c>
      <c r="N532" s="660">
        <f>0+'[1]táj.2'!N532</f>
        <v>0</v>
      </c>
      <c r="O532" s="660">
        <f>0+'[1]táj.2'!O532</f>
        <v>0</v>
      </c>
      <c r="P532" s="660">
        <f>0+'[1]táj.2'!P532</f>
        <v>0</v>
      </c>
      <c r="Q532" s="11">
        <f aca="true" t="shared" si="31" ref="Q532:Q541">SUM(G532:P532)</f>
        <v>55314</v>
      </c>
    </row>
    <row r="533" spans="1:17" ht="27.75" customHeight="1">
      <c r="A533" s="70"/>
      <c r="B533" s="70"/>
      <c r="C533" s="70" t="s">
        <v>480</v>
      </c>
      <c r="D533" s="759" t="s">
        <v>1031</v>
      </c>
      <c r="E533" s="382"/>
      <c r="F533" s="11">
        <v>164914</v>
      </c>
      <c r="G533" s="660">
        <f>0+'[1]táj.2'!G533</f>
        <v>0</v>
      </c>
      <c r="H533" s="660">
        <f>0+'[1]táj.2'!H533</f>
        <v>0</v>
      </c>
      <c r="I533" s="660">
        <f>0+'[1]táj.2'!I533</f>
        <v>0</v>
      </c>
      <c r="J533" s="660">
        <f>0+'[1]táj.2'!J533</f>
        <v>0</v>
      </c>
      <c r="K533" s="660">
        <f>0+'[1]táj.2'!K533</f>
        <v>0</v>
      </c>
      <c r="L533" s="660">
        <f>0+'[1]táj.2'!L533</f>
        <v>0</v>
      </c>
      <c r="M533" s="660">
        <f>4955+'[1]táj.2'!M533</f>
        <v>4955</v>
      </c>
      <c r="N533" s="660">
        <f>0+'[1]táj.2'!N533</f>
        <v>0</v>
      </c>
      <c r="O533" s="660">
        <f>0+'[1]táj.2'!O533</f>
        <v>0</v>
      </c>
      <c r="P533" s="660">
        <f>0+'[1]táj.2'!P533</f>
        <v>0</v>
      </c>
      <c r="Q533" s="11">
        <f t="shared" si="31"/>
        <v>4955</v>
      </c>
    </row>
    <row r="534" spans="1:17" ht="18" customHeight="1">
      <c r="A534" s="70"/>
      <c r="B534" s="70"/>
      <c r="C534" s="70" t="s">
        <v>607</v>
      </c>
      <c r="D534" s="759" t="s">
        <v>207</v>
      </c>
      <c r="E534" s="382"/>
      <c r="F534" s="11">
        <v>162941</v>
      </c>
      <c r="G534" s="660">
        <f>0+'[1]táj.2'!G534</f>
        <v>0</v>
      </c>
      <c r="H534" s="660">
        <f>0+'[1]táj.2'!H534</f>
        <v>0</v>
      </c>
      <c r="I534" s="660">
        <f>10272+'[1]táj.2'!I534</f>
        <v>10272</v>
      </c>
      <c r="J534" s="660">
        <f>0+'[1]táj.2'!J534</f>
        <v>0</v>
      </c>
      <c r="K534" s="660">
        <f>0+'[1]táj.2'!K534</f>
        <v>0</v>
      </c>
      <c r="L534" s="660">
        <f>39322+'[1]táj.2'!L534</f>
        <v>39322</v>
      </c>
      <c r="M534" s="660">
        <f>0+'[1]táj.2'!M534</f>
        <v>0</v>
      </c>
      <c r="N534" s="660">
        <f>0+'[1]táj.2'!N534</f>
        <v>0</v>
      </c>
      <c r="O534" s="660">
        <f>0+'[1]táj.2'!O534</f>
        <v>0</v>
      </c>
      <c r="P534" s="660">
        <f>0+'[1]táj.2'!P534</f>
        <v>0</v>
      </c>
      <c r="Q534" s="11">
        <f t="shared" si="31"/>
        <v>49594</v>
      </c>
    </row>
    <row r="535" spans="1:17" ht="30" customHeight="1">
      <c r="A535" s="70"/>
      <c r="B535" s="70"/>
      <c r="C535" s="70" t="s">
        <v>325</v>
      </c>
      <c r="D535" s="642" t="s">
        <v>956</v>
      </c>
      <c r="E535" s="382" t="s">
        <v>143</v>
      </c>
      <c r="F535" s="11">
        <v>162944</v>
      </c>
      <c r="G535" s="660">
        <f>0+'[1]táj.2'!G535</f>
        <v>0</v>
      </c>
      <c r="H535" s="660">
        <f>0+'[1]táj.2'!H535</f>
        <v>0</v>
      </c>
      <c r="I535" s="660">
        <f>114210+'[1]táj.2'!I535</f>
        <v>114210</v>
      </c>
      <c r="J535" s="660">
        <f>0+'[1]táj.2'!J535</f>
        <v>0</v>
      </c>
      <c r="K535" s="660">
        <f>0+'[1]táj.2'!K535</f>
        <v>0</v>
      </c>
      <c r="L535" s="660">
        <f>438887+'[1]táj.2'!L535</f>
        <v>438887</v>
      </c>
      <c r="M535" s="660">
        <f>0+'[1]táj.2'!M535</f>
        <v>0</v>
      </c>
      <c r="N535" s="660">
        <f>0+'[1]táj.2'!N535</f>
        <v>0</v>
      </c>
      <c r="O535" s="660">
        <f>0+'[1]táj.2'!O535</f>
        <v>0</v>
      </c>
      <c r="P535" s="660">
        <f>0+'[1]táj.2'!P535</f>
        <v>0</v>
      </c>
      <c r="Q535" s="11">
        <f t="shared" si="31"/>
        <v>553097</v>
      </c>
    </row>
    <row r="536" spans="1:17" ht="18" customHeight="1">
      <c r="A536" s="70"/>
      <c r="B536" s="70"/>
      <c r="C536" s="70" t="s">
        <v>326</v>
      </c>
      <c r="D536" s="644" t="s">
        <v>1307</v>
      </c>
      <c r="E536" s="382"/>
      <c r="F536" s="11">
        <v>164916</v>
      </c>
      <c r="G536" s="660">
        <f>0+'[1]táj.2'!G536</f>
        <v>0</v>
      </c>
      <c r="H536" s="660">
        <f>0+'[1]táj.2'!H536</f>
        <v>0</v>
      </c>
      <c r="I536" s="660">
        <f>0+'[1]táj.2'!I536</f>
        <v>0</v>
      </c>
      <c r="J536" s="660">
        <f>0+'[1]táj.2'!J536</f>
        <v>0</v>
      </c>
      <c r="K536" s="660">
        <f>0+'[1]táj.2'!K536</f>
        <v>0</v>
      </c>
      <c r="L536" s="660">
        <f>0+'[1]táj.2'!L536</f>
        <v>0</v>
      </c>
      <c r="M536" s="660">
        <f>2510+'[1]táj.2'!M536</f>
        <v>2510</v>
      </c>
      <c r="N536" s="660">
        <f>0+'[1]táj.2'!N536</f>
        <v>0</v>
      </c>
      <c r="O536" s="660">
        <f>0+'[1]táj.2'!O536</f>
        <v>0</v>
      </c>
      <c r="P536" s="660">
        <f>0+'[1]táj.2'!P536</f>
        <v>0</v>
      </c>
      <c r="Q536" s="11">
        <f t="shared" si="31"/>
        <v>2510</v>
      </c>
    </row>
    <row r="537" spans="1:17" ht="24" customHeight="1">
      <c r="A537" s="70"/>
      <c r="B537" s="70"/>
      <c r="C537" s="70" t="s">
        <v>327</v>
      </c>
      <c r="D537" s="712" t="s">
        <v>1033</v>
      </c>
      <c r="E537" s="250"/>
      <c r="F537" s="11">
        <v>162934</v>
      </c>
      <c r="G537" s="660">
        <f>0+'[1]táj.2'!G537</f>
        <v>0</v>
      </c>
      <c r="H537" s="660">
        <f>0+'[1]táj.2'!H537</f>
        <v>0</v>
      </c>
      <c r="I537" s="660">
        <f>0+'[1]táj.2'!I537</f>
        <v>0</v>
      </c>
      <c r="J537" s="660">
        <f>0+'[1]táj.2'!J537</f>
        <v>0</v>
      </c>
      <c r="K537" s="660">
        <f>0+'[1]táj.2'!K537</f>
        <v>0</v>
      </c>
      <c r="L537" s="660">
        <f>2400+'[1]táj.2'!L537</f>
        <v>2400</v>
      </c>
      <c r="M537" s="660">
        <f>0+'[1]táj.2'!M537</f>
        <v>0</v>
      </c>
      <c r="N537" s="660">
        <f>0+'[1]táj.2'!N537</f>
        <v>0</v>
      </c>
      <c r="O537" s="660">
        <f>0+'[1]táj.2'!O537</f>
        <v>0</v>
      </c>
      <c r="P537" s="660">
        <f>0+'[1]táj.2'!P537</f>
        <v>0</v>
      </c>
      <c r="Q537" s="11">
        <f t="shared" si="31"/>
        <v>2400</v>
      </c>
    </row>
    <row r="538" spans="1:17" ht="16.5" customHeight="1">
      <c r="A538" s="70"/>
      <c r="B538" s="70"/>
      <c r="C538" s="70" t="s">
        <v>957</v>
      </c>
      <c r="D538" s="739" t="s">
        <v>823</v>
      </c>
      <c r="E538" s="386"/>
      <c r="F538" s="11">
        <v>154535</v>
      </c>
      <c r="G538" s="660">
        <f>0+'[1]táj.2'!G538</f>
        <v>0</v>
      </c>
      <c r="H538" s="660">
        <f>0+'[1]táj.2'!H538</f>
        <v>0</v>
      </c>
      <c r="I538" s="660">
        <f>0+'[1]táj.2'!I538</f>
        <v>0</v>
      </c>
      <c r="J538" s="660">
        <f>0+'[1]táj.2'!J538</f>
        <v>0</v>
      </c>
      <c r="K538" s="660">
        <f>0+'[1]táj.2'!K538</f>
        <v>0</v>
      </c>
      <c r="L538" s="660">
        <f>0+'[1]táj.2'!L538</f>
        <v>0</v>
      </c>
      <c r="M538" s="660">
        <f>942+'[1]táj.2'!M538</f>
        <v>942</v>
      </c>
      <c r="N538" s="660">
        <f>0+'[1]táj.2'!N538</f>
        <v>0</v>
      </c>
      <c r="O538" s="660">
        <f>0+'[1]táj.2'!O538</f>
        <v>0</v>
      </c>
      <c r="P538" s="660">
        <f>0+'[1]táj.2'!P538</f>
        <v>0</v>
      </c>
      <c r="Q538" s="11">
        <f t="shared" si="31"/>
        <v>942</v>
      </c>
    </row>
    <row r="539" spans="1:17" ht="28.5" customHeight="1">
      <c r="A539" s="70"/>
      <c r="B539" s="70"/>
      <c r="C539" s="70" t="s">
        <v>958</v>
      </c>
      <c r="D539" s="95" t="s">
        <v>151</v>
      </c>
      <c r="E539" s="386"/>
      <c r="F539" s="11">
        <v>154916</v>
      </c>
      <c r="G539" s="660">
        <f>0+'[1]táj.2'!G539</f>
        <v>0</v>
      </c>
      <c r="H539" s="660">
        <f>0+'[1]táj.2'!H539</f>
        <v>0</v>
      </c>
      <c r="I539" s="660">
        <f>0+'[1]táj.2'!I539</f>
        <v>0</v>
      </c>
      <c r="J539" s="660">
        <f>0+'[1]táj.2'!J539</f>
        <v>0</v>
      </c>
      <c r="K539" s="660">
        <f>0+'[1]táj.2'!K539</f>
        <v>0</v>
      </c>
      <c r="L539" s="660">
        <f>0+'[1]táj.2'!L539</f>
        <v>0</v>
      </c>
      <c r="M539" s="660">
        <f>914+'[1]táj.2'!M539</f>
        <v>914</v>
      </c>
      <c r="N539" s="660">
        <f>0+'[1]táj.2'!N539</f>
        <v>0</v>
      </c>
      <c r="O539" s="660">
        <f>0+'[1]táj.2'!O539</f>
        <v>0</v>
      </c>
      <c r="P539" s="660">
        <f>0+'[1]táj.2'!P539</f>
        <v>0</v>
      </c>
      <c r="Q539" s="11">
        <f t="shared" si="31"/>
        <v>914</v>
      </c>
    </row>
    <row r="540" spans="1:17" ht="28.5" customHeight="1">
      <c r="A540" s="70"/>
      <c r="B540" s="70"/>
      <c r="C540" s="70" t="s">
        <v>1527</v>
      </c>
      <c r="D540" s="276" t="s">
        <v>1137</v>
      </c>
      <c r="F540" s="11">
        <v>164609</v>
      </c>
      <c r="G540" s="660">
        <f>0+'[1]táj.2'!G540</f>
        <v>0</v>
      </c>
      <c r="H540" s="660">
        <f>0+'[1]táj.2'!H540</f>
        <v>0</v>
      </c>
      <c r="I540" s="660">
        <f>0+'[1]táj.2'!I540</f>
        <v>0</v>
      </c>
      <c r="J540" s="660">
        <f>0+'[1]táj.2'!J540</f>
        <v>0</v>
      </c>
      <c r="K540" s="660">
        <f>0+'[1]táj.2'!K540</f>
        <v>0</v>
      </c>
      <c r="L540" s="660">
        <f>0+'[1]táj.2'!L540</f>
        <v>0</v>
      </c>
      <c r="M540" s="660">
        <f>2805+'[1]táj.2'!M540</f>
        <v>2805</v>
      </c>
      <c r="N540" s="660">
        <f>0+'[1]táj.2'!N540</f>
        <v>0</v>
      </c>
      <c r="O540" s="660">
        <f>0+'[1]táj.2'!O540</f>
        <v>0</v>
      </c>
      <c r="P540" s="660">
        <f>0+'[1]táj.2'!P540</f>
        <v>0</v>
      </c>
      <c r="Q540" s="11">
        <f t="shared" si="31"/>
        <v>2805</v>
      </c>
    </row>
    <row r="541" spans="1:17" ht="18.75" customHeight="1">
      <c r="A541" s="70"/>
      <c r="B541" s="70"/>
      <c r="C541" s="70" t="s">
        <v>1528</v>
      </c>
      <c r="D541" s="133" t="s">
        <v>486</v>
      </c>
      <c r="E541" s="395"/>
      <c r="F541" s="11">
        <v>162942</v>
      </c>
      <c r="G541" s="660">
        <f>0+'[1]táj.2'!G541</f>
        <v>0</v>
      </c>
      <c r="H541" s="660">
        <f>0+'[1]táj.2'!H541</f>
        <v>0</v>
      </c>
      <c r="I541" s="660">
        <f>0+'[1]táj.2'!I541</f>
        <v>0</v>
      </c>
      <c r="J541" s="660">
        <f>0+'[1]táj.2'!J541</f>
        <v>0</v>
      </c>
      <c r="K541" s="660">
        <f>0+'[1]táj.2'!K541</f>
        <v>0</v>
      </c>
      <c r="L541" s="660">
        <f>0+'[1]táj.2'!L541</f>
        <v>0</v>
      </c>
      <c r="M541" s="660">
        <f>157+'[1]táj.2'!M541</f>
        <v>157</v>
      </c>
      <c r="N541" s="660">
        <f>0+'[1]táj.2'!N541</f>
        <v>0</v>
      </c>
      <c r="O541" s="660">
        <f>0+'[1]táj.2'!O541</f>
        <v>0</v>
      </c>
      <c r="P541" s="660">
        <f>0+'[1]táj.2'!P541</f>
        <v>0</v>
      </c>
      <c r="Q541" s="11">
        <f t="shared" si="31"/>
        <v>157</v>
      </c>
    </row>
    <row r="542" spans="1:17" ht="16.5" customHeight="1">
      <c r="A542" s="70"/>
      <c r="B542" s="70"/>
      <c r="C542" s="70" t="s">
        <v>420</v>
      </c>
      <c r="D542" s="760" t="s">
        <v>1222</v>
      </c>
      <c r="E542" s="250"/>
      <c r="F542" s="11"/>
      <c r="G542" s="660"/>
      <c r="H542" s="660"/>
      <c r="I542" s="660"/>
      <c r="J542" s="660"/>
      <c r="K542" s="660"/>
      <c r="L542" s="660"/>
      <c r="M542" s="660"/>
      <c r="N542" s="660"/>
      <c r="O542" s="660"/>
      <c r="P542" s="660"/>
      <c r="Q542" s="11"/>
    </row>
    <row r="543" spans="1:17" ht="20.25" customHeight="1">
      <c r="A543" s="70"/>
      <c r="B543" s="70"/>
      <c r="C543" s="323" t="s">
        <v>250</v>
      </c>
      <c r="D543" s="311" t="s">
        <v>608</v>
      </c>
      <c r="F543" s="11"/>
      <c r="G543" s="660"/>
      <c r="H543" s="660"/>
      <c r="I543" s="660"/>
      <c r="J543" s="660"/>
      <c r="K543" s="660"/>
      <c r="L543" s="660"/>
      <c r="M543" s="660"/>
      <c r="N543" s="660"/>
      <c r="O543" s="660"/>
      <c r="P543" s="660"/>
      <c r="Q543" s="11"/>
    </row>
    <row r="544" spans="1:17" ht="27" customHeight="1">
      <c r="A544" s="70"/>
      <c r="B544" s="70"/>
      <c r="C544" s="280" t="s">
        <v>251</v>
      </c>
      <c r="D544" s="761" t="s">
        <v>72</v>
      </c>
      <c r="F544" s="11">
        <v>163636</v>
      </c>
      <c r="G544" s="660">
        <f>0+'[1]táj.2'!G544</f>
        <v>0</v>
      </c>
      <c r="H544" s="660">
        <f>0+'[1]táj.2'!H544</f>
        <v>0</v>
      </c>
      <c r="I544" s="660">
        <f>0+'[1]táj.2'!I544</f>
        <v>0</v>
      </c>
      <c r="J544" s="660">
        <f>0+'[1]táj.2'!J544</f>
        <v>0</v>
      </c>
      <c r="K544" s="660">
        <f>0+'[1]táj.2'!K544</f>
        <v>0</v>
      </c>
      <c r="L544" s="660">
        <f>0+'[1]táj.2'!L544</f>
        <v>0</v>
      </c>
      <c r="M544" s="660">
        <f>3000+'[1]táj.2'!M544</f>
        <v>3000</v>
      </c>
      <c r="N544" s="660">
        <f>0+'[1]táj.2'!N544</f>
        <v>0</v>
      </c>
      <c r="O544" s="660">
        <f>0+'[1]táj.2'!O544</f>
        <v>0</v>
      </c>
      <c r="P544" s="660">
        <f>0+'[1]táj.2'!P544</f>
        <v>0</v>
      </c>
      <c r="Q544" s="11">
        <f>SUM(G544:P544)</f>
        <v>3000</v>
      </c>
    </row>
    <row r="545" spans="1:17" ht="16.5" customHeight="1">
      <c r="A545" s="70"/>
      <c r="B545" s="70"/>
      <c r="C545" s="212"/>
      <c r="D545" s="133" t="s">
        <v>686</v>
      </c>
      <c r="E545" s="250"/>
      <c r="F545" s="11"/>
      <c r="G545" s="660"/>
      <c r="H545" s="660"/>
      <c r="I545" s="660"/>
      <c r="J545" s="660"/>
      <c r="K545" s="660"/>
      <c r="L545" s="660"/>
      <c r="M545" s="660"/>
      <c r="N545" s="660"/>
      <c r="O545" s="660"/>
      <c r="P545" s="660"/>
      <c r="Q545" s="11"/>
    </row>
    <row r="546" spans="1:17" ht="29.25" customHeight="1">
      <c r="A546" s="70"/>
      <c r="B546" s="70"/>
      <c r="C546" s="212" t="s">
        <v>252</v>
      </c>
      <c r="D546" s="762" t="s">
        <v>1042</v>
      </c>
      <c r="E546" s="250"/>
      <c r="F546" s="11">
        <v>163601</v>
      </c>
      <c r="G546" s="660">
        <f>1990+'[1]táj.2'!G546</f>
        <v>1990</v>
      </c>
      <c r="H546" s="660">
        <f>442+'[1]táj.2'!H546</f>
        <v>442</v>
      </c>
      <c r="I546" s="660">
        <f>165+'[1]táj.2'!I546</f>
        <v>165</v>
      </c>
      <c r="J546" s="660">
        <f>0+'[1]táj.2'!J546</f>
        <v>0</v>
      </c>
      <c r="K546" s="660">
        <f>0+'[1]táj.2'!K546</f>
        <v>0</v>
      </c>
      <c r="L546" s="660">
        <f>0+'[1]táj.2'!L546</f>
        <v>0</v>
      </c>
      <c r="M546" s="660">
        <f>0+'[1]táj.2'!M546</f>
        <v>0</v>
      </c>
      <c r="N546" s="660">
        <f>0+'[1]táj.2'!N546</f>
        <v>0</v>
      </c>
      <c r="O546" s="660">
        <f>0+'[1]táj.2'!O546</f>
        <v>0</v>
      </c>
      <c r="P546" s="660">
        <f>0+'[1]táj.2'!P546</f>
        <v>0</v>
      </c>
      <c r="Q546" s="11">
        <f aca="true" t="shared" si="32" ref="Q546:Q576">SUM(G546:P546)</f>
        <v>2597</v>
      </c>
    </row>
    <row r="547" spans="1:17" ht="37.5" customHeight="1">
      <c r="A547" s="70"/>
      <c r="B547" s="70"/>
      <c r="C547" s="212" t="s">
        <v>253</v>
      </c>
      <c r="D547" s="762" t="s">
        <v>1051</v>
      </c>
      <c r="E547" s="250"/>
      <c r="F547" s="11">
        <v>163603</v>
      </c>
      <c r="G547" s="660">
        <f>4618+'[1]táj.2'!G547</f>
        <v>4618</v>
      </c>
      <c r="H547" s="660">
        <f>982+'[1]táj.2'!H547</f>
        <v>982</v>
      </c>
      <c r="I547" s="660">
        <f>212+'[1]táj.2'!I547</f>
        <v>212</v>
      </c>
      <c r="J547" s="660">
        <f>0+'[1]táj.2'!J547</f>
        <v>0</v>
      </c>
      <c r="K547" s="660">
        <f>0+'[1]táj.2'!K547</f>
        <v>0</v>
      </c>
      <c r="L547" s="660">
        <f>1265+'[1]táj.2'!L547</f>
        <v>1265</v>
      </c>
      <c r="M547" s="660">
        <f>3036+'[1]táj.2'!M547</f>
        <v>3036</v>
      </c>
      <c r="N547" s="660">
        <f>0+'[1]táj.2'!N547</f>
        <v>0</v>
      </c>
      <c r="O547" s="660">
        <f>0+'[1]táj.2'!O547</f>
        <v>0</v>
      </c>
      <c r="P547" s="660">
        <f>0+'[1]táj.2'!P547</f>
        <v>0</v>
      </c>
      <c r="Q547" s="11">
        <f t="shared" si="32"/>
        <v>10113</v>
      </c>
    </row>
    <row r="548" spans="1:17" ht="28.5" customHeight="1">
      <c r="A548" s="70"/>
      <c r="B548" s="70"/>
      <c r="C548" s="212" t="s">
        <v>254</v>
      </c>
      <c r="D548" s="763" t="s">
        <v>1050</v>
      </c>
      <c r="E548" s="250"/>
      <c r="F548" s="11">
        <v>163604</v>
      </c>
      <c r="G548" s="660">
        <f>2896+'[1]táj.2'!G548</f>
        <v>2896</v>
      </c>
      <c r="H548" s="660">
        <f>604+'[1]táj.2'!H548</f>
        <v>604</v>
      </c>
      <c r="I548" s="660">
        <f>0+'[1]táj.2'!I548</f>
        <v>0</v>
      </c>
      <c r="J548" s="660">
        <f>0+'[1]táj.2'!J548</f>
        <v>0</v>
      </c>
      <c r="K548" s="660">
        <f>0+'[1]táj.2'!K548</f>
        <v>0</v>
      </c>
      <c r="L548" s="660">
        <f>14+'[1]táj.2'!L548</f>
        <v>14</v>
      </c>
      <c r="M548" s="660">
        <f>592+'[1]táj.2'!M548</f>
        <v>592</v>
      </c>
      <c r="N548" s="660">
        <f>0+'[1]táj.2'!N548</f>
        <v>0</v>
      </c>
      <c r="O548" s="660">
        <f>0+'[1]táj.2'!O548</f>
        <v>0</v>
      </c>
      <c r="P548" s="660">
        <f>0+'[1]táj.2'!P548</f>
        <v>0</v>
      </c>
      <c r="Q548" s="11">
        <f t="shared" si="32"/>
        <v>4106</v>
      </c>
    </row>
    <row r="549" spans="1:17" ht="27" customHeight="1">
      <c r="A549" s="70"/>
      <c r="B549" s="70"/>
      <c r="C549" s="212" t="s">
        <v>255</v>
      </c>
      <c r="D549" s="763" t="s">
        <v>1052</v>
      </c>
      <c r="E549" s="250"/>
      <c r="F549" s="11">
        <v>163606</v>
      </c>
      <c r="G549" s="660">
        <f>2393+'[1]táj.2'!G549</f>
        <v>2393</v>
      </c>
      <c r="H549" s="660">
        <f>647+'[1]táj.2'!H549</f>
        <v>647</v>
      </c>
      <c r="I549" s="660">
        <f>5607+'[1]táj.2'!I549</f>
        <v>5607</v>
      </c>
      <c r="J549" s="660">
        <f>0+'[1]táj.2'!J549</f>
        <v>0</v>
      </c>
      <c r="K549" s="660">
        <f>0+'[1]táj.2'!K549</f>
        <v>0</v>
      </c>
      <c r="L549" s="660">
        <f>138015+'[1]táj.2'!L549</f>
        <v>138015</v>
      </c>
      <c r="M549" s="660">
        <f>0+'[1]táj.2'!M549</f>
        <v>0</v>
      </c>
      <c r="N549" s="660">
        <f>0+'[1]táj.2'!N549</f>
        <v>0</v>
      </c>
      <c r="O549" s="660">
        <f>0+'[1]táj.2'!O549</f>
        <v>0</v>
      </c>
      <c r="P549" s="660">
        <f>0+'[1]táj.2'!P549</f>
        <v>0</v>
      </c>
      <c r="Q549" s="11">
        <f t="shared" si="32"/>
        <v>146662</v>
      </c>
    </row>
    <row r="550" spans="1:17" ht="67.5" customHeight="1">
      <c r="A550" s="70"/>
      <c r="B550" s="70"/>
      <c r="C550" s="212" t="s">
        <v>256</v>
      </c>
      <c r="D550" s="762" t="s">
        <v>1058</v>
      </c>
      <c r="E550" s="250"/>
      <c r="F550" s="11">
        <v>163607</v>
      </c>
      <c r="G550" s="660">
        <f>0+'[1]táj.2'!G550</f>
        <v>0</v>
      </c>
      <c r="H550" s="660">
        <f>0+'[1]táj.2'!H550</f>
        <v>0</v>
      </c>
      <c r="I550" s="660">
        <f>42750+'[1]táj.2'!I550</f>
        <v>42750</v>
      </c>
      <c r="J550" s="660">
        <f>0+'[1]táj.2'!J550</f>
        <v>0</v>
      </c>
      <c r="K550" s="660">
        <f>0+'[1]táj.2'!K550</f>
        <v>0</v>
      </c>
      <c r="L550" s="660">
        <f>908820+'[1]táj.2'!L550</f>
        <v>908820</v>
      </c>
      <c r="M550" s="660">
        <f>0+'[1]táj.2'!M550</f>
        <v>0</v>
      </c>
      <c r="N550" s="660">
        <f>0+'[1]táj.2'!N550</f>
        <v>0</v>
      </c>
      <c r="O550" s="660">
        <f>0+'[1]táj.2'!O550</f>
        <v>0</v>
      </c>
      <c r="P550" s="660">
        <f>0+'[1]táj.2'!P550</f>
        <v>0</v>
      </c>
      <c r="Q550" s="11">
        <f t="shared" si="32"/>
        <v>951570</v>
      </c>
    </row>
    <row r="551" spans="1:17" ht="40.5" customHeight="1">
      <c r="A551" s="70"/>
      <c r="B551" s="70"/>
      <c r="C551" s="212" t="s">
        <v>257</v>
      </c>
      <c r="D551" s="762" t="s">
        <v>1041</v>
      </c>
      <c r="E551" s="250"/>
      <c r="F551" s="11">
        <v>163608</v>
      </c>
      <c r="G551" s="660">
        <f>5948+'[1]táj.2'!G551</f>
        <v>5948</v>
      </c>
      <c r="H551" s="660">
        <f>1556+'[1]táj.2'!H551</f>
        <v>1556</v>
      </c>
      <c r="I551" s="660">
        <f>51444+'[1]táj.2'!I551</f>
        <v>51444</v>
      </c>
      <c r="J551" s="660">
        <f>0+'[1]táj.2'!J551</f>
        <v>0</v>
      </c>
      <c r="K551" s="660">
        <f>0+'[1]táj.2'!K551</f>
        <v>0</v>
      </c>
      <c r="L551" s="660">
        <f>854893+'[1]táj.2'!L551</f>
        <v>854893</v>
      </c>
      <c r="M551" s="660">
        <f>0+'[1]táj.2'!M551</f>
        <v>0</v>
      </c>
      <c r="N551" s="660">
        <f>0+'[1]táj.2'!N551</f>
        <v>0</v>
      </c>
      <c r="O551" s="660">
        <f>0+'[1]táj.2'!O551</f>
        <v>0</v>
      </c>
      <c r="P551" s="660">
        <f>0+'[1]táj.2'!P551</f>
        <v>0</v>
      </c>
      <c r="Q551" s="11">
        <f t="shared" si="32"/>
        <v>913841</v>
      </c>
    </row>
    <row r="552" spans="1:17" ht="24.75" customHeight="1">
      <c r="A552" s="70"/>
      <c r="B552" s="70"/>
      <c r="C552" s="212" t="s">
        <v>258</v>
      </c>
      <c r="D552" s="762" t="s">
        <v>1066</v>
      </c>
      <c r="E552" s="250"/>
      <c r="F552" s="11">
        <v>163609</v>
      </c>
      <c r="G552" s="660">
        <f>0+'[1]táj.2'!G552</f>
        <v>0</v>
      </c>
      <c r="H552" s="660">
        <f>0+'[1]táj.2'!H552</f>
        <v>0</v>
      </c>
      <c r="I552" s="660">
        <f>43887+'[1]táj.2'!I552</f>
        <v>43887</v>
      </c>
      <c r="J552" s="660">
        <f>0+'[1]táj.2'!J552</f>
        <v>0</v>
      </c>
      <c r="K552" s="660">
        <f>0+'[1]táj.2'!K552</f>
        <v>0</v>
      </c>
      <c r="L552" s="660">
        <f>348299+'[1]táj.2'!L552</f>
        <v>348299</v>
      </c>
      <c r="M552" s="660">
        <f>0+'[1]táj.2'!M552</f>
        <v>0</v>
      </c>
      <c r="N552" s="660">
        <f>0+'[1]táj.2'!N552</f>
        <v>0</v>
      </c>
      <c r="O552" s="660">
        <f>0+'[1]táj.2'!O552</f>
        <v>0</v>
      </c>
      <c r="P552" s="660">
        <f>0+'[1]táj.2'!P552</f>
        <v>0</v>
      </c>
      <c r="Q552" s="11">
        <f t="shared" si="32"/>
        <v>392186</v>
      </c>
    </row>
    <row r="553" spans="1:17" ht="39.75" customHeight="1">
      <c r="A553" s="70"/>
      <c r="B553" s="70"/>
      <c r="C553" s="212" t="s">
        <v>259</v>
      </c>
      <c r="D553" s="637" t="s">
        <v>1054</v>
      </c>
      <c r="E553" s="250"/>
      <c r="F553" s="11">
        <v>163610</v>
      </c>
      <c r="G553" s="660">
        <f>2000+'[1]táj.2'!G553</f>
        <v>2000</v>
      </c>
      <c r="H553" s="660">
        <f>540+'[1]táj.2'!H553</f>
        <v>540</v>
      </c>
      <c r="I553" s="660">
        <f>77360+'[1]táj.2'!I553</f>
        <v>77360</v>
      </c>
      <c r="J553" s="660">
        <f>0+'[1]táj.2'!J553</f>
        <v>0</v>
      </c>
      <c r="K553" s="660">
        <f>0+'[1]táj.2'!K553</f>
        <v>0</v>
      </c>
      <c r="L553" s="660">
        <f>243576+'[1]táj.2'!L553</f>
        <v>243576</v>
      </c>
      <c r="M553" s="660">
        <f>0+'[1]táj.2'!M553</f>
        <v>0</v>
      </c>
      <c r="N553" s="660">
        <f>0+'[1]táj.2'!N553</f>
        <v>33452</v>
      </c>
      <c r="O553" s="660">
        <f>0+'[1]táj.2'!O553</f>
        <v>0</v>
      </c>
      <c r="P553" s="660">
        <f>0+'[1]táj.2'!P553</f>
        <v>0</v>
      </c>
      <c r="Q553" s="11">
        <f t="shared" si="32"/>
        <v>356928</v>
      </c>
    </row>
    <row r="554" spans="1:17" ht="41.25" customHeight="1">
      <c r="A554" s="70"/>
      <c r="B554" s="70"/>
      <c r="C554" s="212" t="s">
        <v>260</v>
      </c>
      <c r="D554" s="637" t="s">
        <v>1053</v>
      </c>
      <c r="E554" s="250"/>
      <c r="F554" s="11">
        <v>163611</v>
      </c>
      <c r="G554" s="660">
        <f>2000+'[1]táj.2'!G554</f>
        <v>2000</v>
      </c>
      <c r="H554" s="660">
        <f>540+'[1]táj.2'!H554</f>
        <v>540</v>
      </c>
      <c r="I554" s="660">
        <f>8171+'[1]táj.2'!I554</f>
        <v>8171</v>
      </c>
      <c r="J554" s="660">
        <f>0+'[1]táj.2'!J554</f>
        <v>0</v>
      </c>
      <c r="K554" s="660">
        <f>0+'[1]táj.2'!K554</f>
        <v>0</v>
      </c>
      <c r="L554" s="660">
        <f>362702+'[1]táj.2'!L554</f>
        <v>362702</v>
      </c>
      <c r="M554" s="660">
        <f>6350+'[1]táj.2'!M554</f>
        <v>6350</v>
      </c>
      <c r="N554" s="660">
        <f>0+'[1]táj.2'!N554</f>
        <v>0</v>
      </c>
      <c r="O554" s="660">
        <f>0+'[1]táj.2'!O554</f>
        <v>0</v>
      </c>
      <c r="P554" s="660">
        <f>0+'[1]táj.2'!P554</f>
        <v>0</v>
      </c>
      <c r="Q554" s="11">
        <f t="shared" si="32"/>
        <v>379763</v>
      </c>
    </row>
    <row r="555" spans="1:17" ht="38.25" customHeight="1">
      <c r="A555" s="70"/>
      <c r="B555" s="70"/>
      <c r="C555" s="212" t="s">
        <v>261</v>
      </c>
      <c r="D555" s="638" t="s">
        <v>843</v>
      </c>
      <c r="E555" s="250"/>
      <c r="F555" s="11">
        <v>163612</v>
      </c>
      <c r="G555" s="660">
        <f>0+'[1]táj.2'!G555</f>
        <v>0</v>
      </c>
      <c r="H555" s="660">
        <f>0+'[1]táj.2'!H555</f>
        <v>0</v>
      </c>
      <c r="I555" s="660">
        <f>112475+'[1]táj.2'!I555</f>
        <v>112475</v>
      </c>
      <c r="J555" s="660">
        <f>0+'[1]táj.2'!J555</f>
        <v>0</v>
      </c>
      <c r="K555" s="660">
        <f>0+'[1]táj.2'!K555</f>
        <v>0</v>
      </c>
      <c r="L555" s="660">
        <f>182639+'[1]táj.2'!L555</f>
        <v>164101</v>
      </c>
      <c r="M555" s="660">
        <f>0+'[1]táj.2'!M555</f>
        <v>0</v>
      </c>
      <c r="N555" s="660">
        <f>0+'[1]táj.2'!N555</f>
        <v>0</v>
      </c>
      <c r="O555" s="660">
        <f>0+'[1]táj.2'!O555</f>
        <v>0</v>
      </c>
      <c r="P555" s="660">
        <f>0+'[1]táj.2'!P555</f>
        <v>0</v>
      </c>
      <c r="Q555" s="11">
        <f t="shared" si="32"/>
        <v>276576</v>
      </c>
    </row>
    <row r="556" spans="1:17" ht="41.25" customHeight="1">
      <c r="A556" s="70"/>
      <c r="B556" s="70"/>
      <c r="C556" s="212" t="s">
        <v>262</v>
      </c>
      <c r="D556" s="638" t="s">
        <v>844</v>
      </c>
      <c r="E556" s="250"/>
      <c r="F556" s="11">
        <v>163613</v>
      </c>
      <c r="G556" s="660">
        <f>0+'[1]táj.2'!G556</f>
        <v>0</v>
      </c>
      <c r="H556" s="660">
        <f>0+'[1]táj.2'!H556</f>
        <v>0</v>
      </c>
      <c r="I556" s="660">
        <f>25874+'[1]táj.2'!I556</f>
        <v>25874</v>
      </c>
      <c r="J556" s="660">
        <f>0+'[1]táj.2'!J556</f>
        <v>0</v>
      </c>
      <c r="K556" s="660">
        <f>0+'[1]táj.2'!K556</f>
        <v>0</v>
      </c>
      <c r="L556" s="660">
        <f>181890+'[1]táj.2'!L556</f>
        <v>181890</v>
      </c>
      <c r="M556" s="660">
        <f>0+'[1]táj.2'!M556</f>
        <v>0</v>
      </c>
      <c r="N556" s="660">
        <f>0+'[1]táj.2'!N556</f>
        <v>0</v>
      </c>
      <c r="O556" s="660">
        <f>0+'[1]táj.2'!O556</f>
        <v>0</v>
      </c>
      <c r="P556" s="660">
        <f>0+'[1]táj.2'!P556</f>
        <v>0</v>
      </c>
      <c r="Q556" s="11">
        <f t="shared" si="32"/>
        <v>207764</v>
      </c>
    </row>
    <row r="557" spans="1:17" ht="40.5" customHeight="1">
      <c r="A557" s="70"/>
      <c r="B557" s="70"/>
      <c r="C557" s="212" t="s">
        <v>263</v>
      </c>
      <c r="D557" s="638" t="s">
        <v>1043</v>
      </c>
      <c r="E557" s="250"/>
      <c r="F557" s="11">
        <v>163614</v>
      </c>
      <c r="G557" s="660">
        <f>1000+'[1]táj.2'!G557</f>
        <v>1000</v>
      </c>
      <c r="H557" s="660">
        <f>270+'[1]táj.2'!H557</f>
        <v>270</v>
      </c>
      <c r="I557" s="660">
        <f>8340+'[1]táj.2'!I557</f>
        <v>8340</v>
      </c>
      <c r="J557" s="660">
        <f>0+'[1]táj.2'!J557</f>
        <v>0</v>
      </c>
      <c r="K557" s="660">
        <f>0+'[1]táj.2'!K557</f>
        <v>0</v>
      </c>
      <c r="L557" s="660">
        <f>157425+'[1]táj.2'!L557</f>
        <v>157425</v>
      </c>
      <c r="M557" s="660">
        <f>0+'[1]táj.2'!M557</f>
        <v>0</v>
      </c>
      <c r="N557" s="660">
        <f>0+'[1]táj.2'!N557</f>
        <v>0</v>
      </c>
      <c r="O557" s="660">
        <f>0+'[1]táj.2'!O557</f>
        <v>0</v>
      </c>
      <c r="P557" s="660">
        <f>0+'[1]táj.2'!P557</f>
        <v>0</v>
      </c>
      <c r="Q557" s="11">
        <f t="shared" si="32"/>
        <v>167035</v>
      </c>
    </row>
    <row r="558" spans="1:17" ht="51.75" customHeight="1">
      <c r="A558" s="70"/>
      <c r="B558" s="70"/>
      <c r="C558" s="212" t="s">
        <v>264</v>
      </c>
      <c r="D558" s="638" t="s">
        <v>1065</v>
      </c>
      <c r="E558" s="250"/>
      <c r="F558" s="11">
        <v>163615</v>
      </c>
      <c r="G558" s="660">
        <f>0+'[1]táj.2'!G558</f>
        <v>0</v>
      </c>
      <c r="H558" s="660">
        <f>0+'[1]táj.2'!H558</f>
        <v>0</v>
      </c>
      <c r="I558" s="660">
        <f>12082+'[1]táj.2'!I558</f>
        <v>12082</v>
      </c>
      <c r="J558" s="660">
        <f>0+'[1]táj.2'!J558</f>
        <v>0</v>
      </c>
      <c r="K558" s="660">
        <f>0+'[1]táj.2'!K558</f>
        <v>0</v>
      </c>
      <c r="L558" s="660">
        <f>0+'[1]táj.2'!L558</f>
        <v>0</v>
      </c>
      <c r="M558" s="660">
        <f>0+'[1]táj.2'!M558</f>
        <v>0</v>
      </c>
      <c r="N558" s="660">
        <f>0+'[1]táj.2'!N558</f>
        <v>0</v>
      </c>
      <c r="O558" s="660">
        <f>0+'[1]táj.2'!O558</f>
        <v>0</v>
      </c>
      <c r="P558" s="660">
        <f>0+'[1]táj.2'!P558</f>
        <v>0</v>
      </c>
      <c r="Q558" s="11">
        <f t="shared" si="32"/>
        <v>12082</v>
      </c>
    </row>
    <row r="559" spans="1:17" ht="28.5" customHeight="1">
      <c r="A559" s="70"/>
      <c r="B559" s="70"/>
      <c r="C559" s="212" t="s">
        <v>265</v>
      </c>
      <c r="D559" s="638" t="s">
        <v>1055</v>
      </c>
      <c r="E559" s="250"/>
      <c r="F559" s="11">
        <v>163616</v>
      </c>
      <c r="G559" s="660">
        <f>2000+'[1]táj.2'!G559</f>
        <v>2000</v>
      </c>
      <c r="H559" s="660">
        <f>540+'[1]táj.2'!H559</f>
        <v>540</v>
      </c>
      <c r="I559" s="660">
        <f>19017+'[1]táj.2'!I559</f>
        <v>19017</v>
      </c>
      <c r="J559" s="660">
        <f>0+'[1]táj.2'!J559</f>
        <v>0</v>
      </c>
      <c r="K559" s="660">
        <f>0+'[1]táj.2'!K559</f>
        <v>0</v>
      </c>
      <c r="L559" s="660">
        <f>58168+'[1]táj.2'!L559</f>
        <v>50798</v>
      </c>
      <c r="M559" s="660">
        <f>0+'[1]táj.2'!M559</f>
        <v>0</v>
      </c>
      <c r="N559" s="660">
        <f>0+'[1]táj.2'!N559</f>
        <v>0</v>
      </c>
      <c r="O559" s="660">
        <f>0+'[1]táj.2'!O559</f>
        <v>0</v>
      </c>
      <c r="P559" s="660">
        <f>0+'[1]táj.2'!P559</f>
        <v>0</v>
      </c>
      <c r="Q559" s="11">
        <f t="shared" si="32"/>
        <v>72355</v>
      </c>
    </row>
    <row r="560" spans="1:17" ht="52.5" customHeight="1">
      <c r="A560" s="70"/>
      <c r="B560" s="70"/>
      <c r="C560" s="212" t="s">
        <v>266</v>
      </c>
      <c r="D560" s="638" t="s">
        <v>1056</v>
      </c>
      <c r="E560" s="250"/>
      <c r="F560" s="11">
        <v>163617</v>
      </c>
      <c r="G560" s="660">
        <f>900+'[1]táj.2'!G560</f>
        <v>900</v>
      </c>
      <c r="H560" s="660">
        <f>199+'[1]táj.2'!H560</f>
        <v>199</v>
      </c>
      <c r="I560" s="660">
        <f>0+'[1]táj.2'!I560</f>
        <v>0</v>
      </c>
      <c r="J560" s="660">
        <f>0+'[1]táj.2'!J560</f>
        <v>0</v>
      </c>
      <c r="K560" s="660">
        <f>0+'[1]táj.2'!K560</f>
        <v>0</v>
      </c>
      <c r="L560" s="660">
        <f>0+'[1]táj.2'!L560</f>
        <v>0</v>
      </c>
      <c r="M560" s="660">
        <f>0+'[1]táj.2'!M560</f>
        <v>0</v>
      </c>
      <c r="N560" s="660">
        <f>0+'[1]táj.2'!N560</f>
        <v>0</v>
      </c>
      <c r="O560" s="660">
        <f>0+'[1]táj.2'!O560</f>
        <v>0</v>
      </c>
      <c r="P560" s="660">
        <f>0+'[1]táj.2'!P560</f>
        <v>0</v>
      </c>
      <c r="Q560" s="11">
        <f t="shared" si="32"/>
        <v>1099</v>
      </c>
    </row>
    <row r="561" spans="1:17" ht="39.75" customHeight="1">
      <c r="A561" s="70"/>
      <c r="B561" s="70"/>
      <c r="C561" s="212" t="s">
        <v>267</v>
      </c>
      <c r="D561" s="638" t="s">
        <v>1057</v>
      </c>
      <c r="E561" s="250"/>
      <c r="F561" s="11">
        <v>163619</v>
      </c>
      <c r="G561" s="660">
        <f>1265+'[1]táj.2'!G561</f>
        <v>1265</v>
      </c>
      <c r="H561" s="660">
        <f>340+'[1]táj.2'!H561</f>
        <v>340</v>
      </c>
      <c r="I561" s="660">
        <f>0+'[1]táj.2'!I561</f>
        <v>0</v>
      </c>
      <c r="J561" s="660">
        <f>0+'[1]táj.2'!J561</f>
        <v>0</v>
      </c>
      <c r="K561" s="660">
        <f>0+'[1]táj.2'!K561</f>
        <v>0</v>
      </c>
      <c r="L561" s="660">
        <f>0+'[1]táj.2'!L561</f>
        <v>0</v>
      </c>
      <c r="M561" s="660">
        <f>0+'[1]táj.2'!M561</f>
        <v>0</v>
      </c>
      <c r="N561" s="660">
        <f>0+'[1]táj.2'!N561</f>
        <v>0</v>
      </c>
      <c r="O561" s="660">
        <f>0+'[1]táj.2'!O561</f>
        <v>0</v>
      </c>
      <c r="P561" s="660">
        <f>0+'[1]táj.2'!P561</f>
        <v>0</v>
      </c>
      <c r="Q561" s="11">
        <f t="shared" si="32"/>
        <v>1605</v>
      </c>
    </row>
    <row r="562" spans="1:17" ht="44.25" customHeight="1">
      <c r="A562" s="70"/>
      <c r="B562" s="70"/>
      <c r="C562" s="212" t="s">
        <v>268</v>
      </c>
      <c r="D562" s="638" t="s">
        <v>1049</v>
      </c>
      <c r="E562" s="250"/>
      <c r="F562" s="11">
        <v>163622</v>
      </c>
      <c r="G562" s="660">
        <f>2431+'[1]táj.2'!G562</f>
        <v>2431</v>
      </c>
      <c r="H562" s="660">
        <f>477+'[1]táj.2'!H562</f>
        <v>477</v>
      </c>
      <c r="I562" s="660">
        <f>0+'[1]táj.2'!I562</f>
        <v>0</v>
      </c>
      <c r="J562" s="660">
        <f>0+'[1]táj.2'!J562</f>
        <v>0</v>
      </c>
      <c r="K562" s="660">
        <f>0+'[1]táj.2'!K562</f>
        <v>0</v>
      </c>
      <c r="L562" s="660">
        <f>0+'[1]táj.2'!L562</f>
        <v>0</v>
      </c>
      <c r="M562" s="660">
        <f>0+'[1]táj.2'!M562</f>
        <v>0</v>
      </c>
      <c r="N562" s="660">
        <f>0+'[1]táj.2'!N562</f>
        <v>0</v>
      </c>
      <c r="O562" s="660">
        <f>0+'[1]táj.2'!O562</f>
        <v>0</v>
      </c>
      <c r="P562" s="660">
        <f>0+'[1]táj.2'!P562</f>
        <v>0</v>
      </c>
      <c r="Q562" s="11">
        <f t="shared" si="32"/>
        <v>2908</v>
      </c>
    </row>
    <row r="563" spans="1:17" ht="27.75" customHeight="1">
      <c r="A563" s="70"/>
      <c r="B563" s="70"/>
      <c r="C563" s="212" t="s">
        <v>269</v>
      </c>
      <c r="D563" s="638" t="s">
        <v>1048</v>
      </c>
      <c r="E563" s="250"/>
      <c r="F563" s="11">
        <v>163623</v>
      </c>
      <c r="G563" s="660">
        <f>2431+'[1]táj.2'!G563</f>
        <v>2431</v>
      </c>
      <c r="H563" s="660">
        <f>477+'[1]táj.2'!H563</f>
        <v>477</v>
      </c>
      <c r="I563" s="660">
        <f>0+'[1]táj.2'!I563</f>
        <v>0</v>
      </c>
      <c r="J563" s="660">
        <f>0+'[1]táj.2'!J563</f>
        <v>0</v>
      </c>
      <c r="K563" s="660">
        <f>0+'[1]táj.2'!K563</f>
        <v>0</v>
      </c>
      <c r="L563" s="660">
        <f>0+'[1]táj.2'!L563</f>
        <v>0</v>
      </c>
      <c r="M563" s="660">
        <f>0+'[1]táj.2'!M563</f>
        <v>0</v>
      </c>
      <c r="N563" s="660">
        <f>0+'[1]táj.2'!N563</f>
        <v>0</v>
      </c>
      <c r="O563" s="660">
        <f>0+'[1]táj.2'!O563</f>
        <v>0</v>
      </c>
      <c r="P563" s="660">
        <f>0+'[1]táj.2'!P563</f>
        <v>0</v>
      </c>
      <c r="Q563" s="11">
        <f t="shared" si="32"/>
        <v>2908</v>
      </c>
    </row>
    <row r="564" spans="1:17" ht="39" customHeight="1">
      <c r="A564" s="70"/>
      <c r="B564" s="70"/>
      <c r="C564" s="212" t="s">
        <v>270</v>
      </c>
      <c r="D564" s="638" t="s">
        <v>1044</v>
      </c>
      <c r="E564" s="250"/>
      <c r="F564" s="11">
        <v>163624</v>
      </c>
      <c r="G564" s="660">
        <f>2560+'[1]táj.2'!G564</f>
        <v>2560</v>
      </c>
      <c r="H564" s="660">
        <f>487+'[1]táj.2'!H564</f>
        <v>487</v>
      </c>
      <c r="I564" s="660">
        <f>0+'[1]táj.2'!I564</f>
        <v>0</v>
      </c>
      <c r="J564" s="660">
        <f>0+'[1]táj.2'!J564</f>
        <v>0</v>
      </c>
      <c r="K564" s="660">
        <f>0+'[1]táj.2'!K564</f>
        <v>0</v>
      </c>
      <c r="L564" s="660">
        <f>0+'[1]táj.2'!L564</f>
        <v>0</v>
      </c>
      <c r="M564" s="660">
        <f>0+'[1]táj.2'!M564</f>
        <v>0</v>
      </c>
      <c r="N564" s="660">
        <f>0+'[1]táj.2'!N564</f>
        <v>0</v>
      </c>
      <c r="O564" s="660">
        <f>0+'[1]táj.2'!O564</f>
        <v>0</v>
      </c>
      <c r="P564" s="660">
        <f>0+'[1]táj.2'!P564</f>
        <v>0</v>
      </c>
      <c r="Q564" s="11">
        <f t="shared" si="32"/>
        <v>3047</v>
      </c>
    </row>
    <row r="565" spans="1:17" ht="24.75" customHeight="1">
      <c r="A565" s="70"/>
      <c r="B565" s="70"/>
      <c r="C565" s="212" t="s">
        <v>271</v>
      </c>
      <c r="D565" s="95" t="s">
        <v>960</v>
      </c>
      <c r="E565" s="322"/>
      <c r="F565" s="11">
        <v>163625</v>
      </c>
      <c r="G565" s="660">
        <f>0+'[1]táj.2'!G565</f>
        <v>0</v>
      </c>
      <c r="H565" s="660">
        <f>0+'[1]táj.2'!H565</f>
        <v>0</v>
      </c>
      <c r="I565" s="660">
        <f>87000+'[1]táj.2'!I565</f>
        <v>87000</v>
      </c>
      <c r="J565" s="660">
        <f>0+'[1]táj.2'!J565</f>
        <v>0</v>
      </c>
      <c r="K565" s="660">
        <f>0+'[1]táj.2'!K565</f>
        <v>0</v>
      </c>
      <c r="L565" s="660">
        <f>1001000+'[1]táj.2'!L565</f>
        <v>1001000</v>
      </c>
      <c r="M565" s="660">
        <f>0+'[1]táj.2'!M565</f>
        <v>0</v>
      </c>
      <c r="N565" s="660">
        <f>0+'[1]táj.2'!N565</f>
        <v>0</v>
      </c>
      <c r="O565" s="660">
        <f>0+'[1]táj.2'!O565</f>
        <v>0</v>
      </c>
      <c r="P565" s="660">
        <f>0+'[1]táj.2'!P565</f>
        <v>0</v>
      </c>
      <c r="Q565" s="11">
        <f t="shared" si="32"/>
        <v>1088000</v>
      </c>
    </row>
    <row r="566" spans="1:17" ht="24.75" customHeight="1">
      <c r="A566" s="70"/>
      <c r="B566" s="70"/>
      <c r="C566" s="212" t="s">
        <v>272</v>
      </c>
      <c r="D566" s="223" t="s">
        <v>982</v>
      </c>
      <c r="E566" s="382"/>
      <c r="F566" s="11">
        <v>163626</v>
      </c>
      <c r="G566" s="660">
        <f>0+'[1]táj.2'!G566</f>
        <v>0</v>
      </c>
      <c r="H566" s="660">
        <f>0+'[1]táj.2'!H566</f>
        <v>0</v>
      </c>
      <c r="I566" s="660">
        <f>9666+'[1]táj.2'!I566</f>
        <v>9666</v>
      </c>
      <c r="J566" s="660">
        <f>0+'[1]táj.2'!J566</f>
        <v>0</v>
      </c>
      <c r="K566" s="660">
        <f>0+'[1]táj.2'!K566</f>
        <v>0</v>
      </c>
      <c r="L566" s="660">
        <f>376434+'[1]táj.2'!L566</f>
        <v>379434</v>
      </c>
      <c r="M566" s="660">
        <f>0+'[1]táj.2'!M566</f>
        <v>0</v>
      </c>
      <c r="N566" s="660">
        <f>0+'[1]táj.2'!N566</f>
        <v>0</v>
      </c>
      <c r="O566" s="660">
        <f>0+'[1]táj.2'!O566</f>
        <v>0</v>
      </c>
      <c r="P566" s="660">
        <f>0+'[1]táj.2'!P566</f>
        <v>0</v>
      </c>
      <c r="Q566" s="11">
        <f t="shared" si="32"/>
        <v>389100</v>
      </c>
    </row>
    <row r="567" spans="1:17" ht="39.75" customHeight="1">
      <c r="A567" s="70"/>
      <c r="B567" s="70"/>
      <c r="C567" s="212" t="s">
        <v>273</v>
      </c>
      <c r="D567" s="764" t="s">
        <v>1063</v>
      </c>
      <c r="E567" s="250"/>
      <c r="F567" s="11">
        <v>163627</v>
      </c>
      <c r="G567" s="660">
        <f>4695+'[1]táj.2'!G567</f>
        <v>4695</v>
      </c>
      <c r="H567" s="660">
        <f>975+'[1]táj.2'!H567</f>
        <v>975</v>
      </c>
      <c r="I567" s="660">
        <f>66217+'[1]táj.2'!I567</f>
        <v>66217</v>
      </c>
      <c r="J567" s="660">
        <f>0+'[1]táj.2'!J567</f>
        <v>0</v>
      </c>
      <c r="K567" s="660">
        <f>0+'[1]táj.2'!K567</f>
        <v>0</v>
      </c>
      <c r="L567" s="660">
        <f>191453+'[1]táj.2'!L567</f>
        <v>191453</v>
      </c>
      <c r="M567" s="660">
        <f>1011712+'[1]táj.2'!M567</f>
        <v>1011712</v>
      </c>
      <c r="N567" s="660">
        <f>0+'[1]táj.2'!N567</f>
        <v>0</v>
      </c>
      <c r="O567" s="660">
        <f>0+'[1]táj.2'!O567</f>
        <v>0</v>
      </c>
      <c r="P567" s="660">
        <f>0+'[1]táj.2'!P567</f>
        <v>0</v>
      </c>
      <c r="Q567" s="11">
        <f t="shared" si="32"/>
        <v>1275052</v>
      </c>
    </row>
    <row r="568" spans="1:17" ht="27" customHeight="1">
      <c r="A568" s="70"/>
      <c r="B568" s="70"/>
      <c r="C568" s="212" t="s">
        <v>274</v>
      </c>
      <c r="D568" s="764" t="s">
        <v>358</v>
      </c>
      <c r="E568" s="250"/>
      <c r="F568" s="11">
        <v>163629</v>
      </c>
      <c r="G568" s="660">
        <f>3552+'[1]táj.2'!G568</f>
        <v>3552</v>
      </c>
      <c r="H568" s="660">
        <f>705+'[1]táj.2'!H568</f>
        <v>705</v>
      </c>
      <c r="I568" s="660">
        <f>54172+'[1]táj.2'!I568</f>
        <v>54172</v>
      </c>
      <c r="J568" s="660">
        <f>0+'[1]táj.2'!J568</f>
        <v>0</v>
      </c>
      <c r="K568" s="660">
        <f>0+'[1]táj.2'!K568</f>
        <v>0</v>
      </c>
      <c r="L568" s="660">
        <f>1344319+'[1]táj.2'!L568</f>
        <v>1344319</v>
      </c>
      <c r="M568" s="660">
        <f>297051+'[1]táj.2'!M568</f>
        <v>297051</v>
      </c>
      <c r="N568" s="660">
        <f>0+'[1]táj.2'!N568</f>
        <v>0</v>
      </c>
      <c r="O568" s="660">
        <f>0+'[1]táj.2'!O568</f>
        <v>0</v>
      </c>
      <c r="P568" s="660">
        <f>0+'[1]táj.2'!P568</f>
        <v>0</v>
      </c>
      <c r="Q568" s="11">
        <f t="shared" si="32"/>
        <v>1699799</v>
      </c>
    </row>
    <row r="569" spans="1:17" ht="28.5" customHeight="1">
      <c r="A569" s="70"/>
      <c r="B569" s="70"/>
      <c r="C569" s="212" t="s">
        <v>275</v>
      </c>
      <c r="D569" s="639" t="s">
        <v>661</v>
      </c>
      <c r="E569" s="250"/>
      <c r="F569" s="11">
        <v>163628</v>
      </c>
      <c r="G569" s="660">
        <f>0+'[1]táj.2'!G569</f>
        <v>0</v>
      </c>
      <c r="H569" s="660">
        <f>0+'[1]táj.2'!H569</f>
        <v>0</v>
      </c>
      <c r="I569" s="660">
        <f>35825+'[1]táj.2'!I569</f>
        <v>35825</v>
      </c>
      <c r="J569" s="660">
        <f>0+'[1]táj.2'!J569</f>
        <v>0</v>
      </c>
      <c r="K569" s="660">
        <f>0+'[1]táj.2'!K569</f>
        <v>0</v>
      </c>
      <c r="L569" s="660">
        <f>686435+'[1]táj.2'!L569</f>
        <v>686435</v>
      </c>
      <c r="M569" s="660">
        <f>0+'[1]táj.2'!M569</f>
        <v>0</v>
      </c>
      <c r="N569" s="660">
        <f>0+'[1]táj.2'!N569</f>
        <v>0</v>
      </c>
      <c r="O569" s="660">
        <f>0+'[1]táj.2'!O569</f>
        <v>0</v>
      </c>
      <c r="P569" s="660">
        <f>0+'[1]táj.2'!P569</f>
        <v>0</v>
      </c>
      <c r="Q569" s="11">
        <f t="shared" si="32"/>
        <v>722260</v>
      </c>
    </row>
    <row r="570" spans="1:17" ht="39.75" customHeight="1">
      <c r="A570" s="70"/>
      <c r="B570" s="70"/>
      <c r="C570" s="212" t="s">
        <v>276</v>
      </c>
      <c r="D570" s="114" t="s">
        <v>662</v>
      </c>
      <c r="E570" s="250"/>
      <c r="F570" s="11">
        <v>163633</v>
      </c>
      <c r="G570" s="660">
        <f>0+'[1]táj.2'!G570</f>
        <v>0</v>
      </c>
      <c r="H570" s="660">
        <f>0+'[1]táj.2'!H570</f>
        <v>0</v>
      </c>
      <c r="I570" s="660">
        <f>250106+'[1]táj.2'!I570</f>
        <v>250106</v>
      </c>
      <c r="J570" s="660">
        <f>0+'[1]táj.2'!J570</f>
        <v>0</v>
      </c>
      <c r="K570" s="660">
        <f>0+'[1]táj.2'!K570</f>
        <v>0</v>
      </c>
      <c r="L570" s="660">
        <f>27400+'[1]táj.2'!L570</f>
        <v>27400</v>
      </c>
      <c r="M570" s="660">
        <f>0+'[1]táj.2'!M570</f>
        <v>0</v>
      </c>
      <c r="N570" s="660">
        <f>0+'[1]táj.2'!N570</f>
        <v>0</v>
      </c>
      <c r="O570" s="660">
        <f>0+'[1]táj.2'!O570</f>
        <v>0</v>
      </c>
      <c r="P570" s="660">
        <f>0+'[1]táj.2'!P570</f>
        <v>0</v>
      </c>
      <c r="Q570" s="11">
        <f t="shared" si="32"/>
        <v>277506</v>
      </c>
    </row>
    <row r="571" spans="1:17" ht="43.5" customHeight="1">
      <c r="A571" s="70"/>
      <c r="B571" s="70"/>
      <c r="C571" s="212" t="s">
        <v>277</v>
      </c>
      <c r="D571" s="759" t="s">
        <v>663</v>
      </c>
      <c r="E571" s="250"/>
      <c r="F571" s="11">
        <v>163634</v>
      </c>
      <c r="G571" s="660">
        <f>0+'[1]táj.2'!G571</f>
        <v>0</v>
      </c>
      <c r="H571" s="660">
        <f>0+'[1]táj.2'!H571</f>
        <v>0</v>
      </c>
      <c r="I571" s="660">
        <f>0+'[1]táj.2'!I571</f>
        <v>0</v>
      </c>
      <c r="J571" s="660">
        <f>0+'[1]táj.2'!J571</f>
        <v>0</v>
      </c>
      <c r="K571" s="660">
        <f>2807+'[1]táj.2'!K571</f>
        <v>2807</v>
      </c>
      <c r="L571" s="660">
        <f>0+'[1]táj.2'!L571</f>
        <v>0</v>
      </c>
      <c r="M571" s="660">
        <f>0+'[1]táj.2'!M571</f>
        <v>0</v>
      </c>
      <c r="N571" s="660">
        <f>0+'[1]táj.2'!N571</f>
        <v>0</v>
      </c>
      <c r="O571" s="660">
        <f>0+'[1]táj.2'!O571</f>
        <v>0</v>
      </c>
      <c r="P571" s="660">
        <f>0+'[1]táj.2'!P571</f>
        <v>0</v>
      </c>
      <c r="Q571" s="11">
        <f t="shared" si="32"/>
        <v>2807</v>
      </c>
    </row>
    <row r="572" spans="1:17" ht="40.5" customHeight="1">
      <c r="A572" s="70"/>
      <c r="B572" s="70"/>
      <c r="C572" s="212" t="s">
        <v>278</v>
      </c>
      <c r="D572" s="223" t="s">
        <v>487</v>
      </c>
      <c r="E572" s="250"/>
      <c r="F572" s="11">
        <v>163637</v>
      </c>
      <c r="G572" s="660">
        <f>0+'[1]táj.2'!G572</f>
        <v>0</v>
      </c>
      <c r="H572" s="660">
        <f>0+'[1]táj.2'!H572</f>
        <v>0</v>
      </c>
      <c r="I572" s="660">
        <f>21334+'[1]táj.2'!I572</f>
        <v>21334</v>
      </c>
      <c r="J572" s="660">
        <f>0+'[1]táj.2'!J572</f>
        <v>0</v>
      </c>
      <c r="K572" s="660">
        <f>0+'[1]táj.2'!K572</f>
        <v>0</v>
      </c>
      <c r="L572" s="660">
        <f>337251+'[1]táj.2'!L572</f>
        <v>337251</v>
      </c>
      <c r="M572" s="660">
        <f>0+'[1]táj.2'!M572</f>
        <v>0</v>
      </c>
      <c r="N572" s="660">
        <f>0+'[1]táj.2'!N572</f>
        <v>0</v>
      </c>
      <c r="O572" s="660">
        <f>0+'[1]táj.2'!O572</f>
        <v>0</v>
      </c>
      <c r="P572" s="660">
        <f>0+'[1]táj.2'!P572</f>
        <v>0</v>
      </c>
      <c r="Q572" s="11">
        <f t="shared" si="32"/>
        <v>358585</v>
      </c>
    </row>
    <row r="573" spans="1:17" ht="29.25" customHeight="1">
      <c r="A573" s="70"/>
      <c r="B573" s="70"/>
      <c r="C573" s="212" t="s">
        <v>279</v>
      </c>
      <c r="D573" s="114" t="s">
        <v>488</v>
      </c>
      <c r="E573" s="250"/>
      <c r="F573" s="11">
        <v>163638</v>
      </c>
      <c r="G573" s="660">
        <f>2459+'[1]táj.2'!G573</f>
        <v>2459</v>
      </c>
      <c r="H573" s="660">
        <f>541+'[1]táj.2'!H573</f>
        <v>541</v>
      </c>
      <c r="I573" s="660">
        <f>3795+'[1]táj.2'!I573</f>
        <v>3795</v>
      </c>
      <c r="J573" s="660">
        <f>0+'[1]táj.2'!J573</f>
        <v>0</v>
      </c>
      <c r="K573" s="660">
        <f>0+'[1]táj.2'!K573</f>
        <v>0</v>
      </c>
      <c r="L573" s="660">
        <f>0+'[1]táj.2'!L573</f>
        <v>0</v>
      </c>
      <c r="M573" s="660">
        <f>241241+'[1]táj.2'!M573</f>
        <v>241241</v>
      </c>
      <c r="N573" s="660">
        <f>0+'[1]táj.2'!N573</f>
        <v>0</v>
      </c>
      <c r="O573" s="660">
        <f>0+'[1]táj.2'!O573</f>
        <v>0</v>
      </c>
      <c r="P573" s="660">
        <f>0+'[1]táj.2'!P573</f>
        <v>0</v>
      </c>
      <c r="Q573" s="11">
        <f t="shared" si="32"/>
        <v>248036</v>
      </c>
    </row>
    <row r="574" spans="1:17" ht="32.25" customHeight="1">
      <c r="A574" s="70"/>
      <c r="B574" s="70"/>
      <c r="C574" s="212" t="s">
        <v>280</v>
      </c>
      <c r="D574" s="114" t="s">
        <v>489</v>
      </c>
      <c r="E574" s="250"/>
      <c r="F574" s="11">
        <v>163639</v>
      </c>
      <c r="G574" s="660">
        <f>2459+'[1]táj.2'!G574</f>
        <v>2459</v>
      </c>
      <c r="H574" s="660">
        <f>541+'[1]táj.2'!H574</f>
        <v>541</v>
      </c>
      <c r="I574" s="660">
        <f>3802+'[1]táj.2'!I574</f>
        <v>3802</v>
      </c>
      <c r="J574" s="660">
        <f>0+'[1]táj.2'!J574</f>
        <v>0</v>
      </c>
      <c r="K574" s="660">
        <f>0+'[1]táj.2'!K574</f>
        <v>0</v>
      </c>
      <c r="L574" s="660">
        <f>0+'[1]táj.2'!L574</f>
        <v>0</v>
      </c>
      <c r="M574" s="660">
        <f>237479+'[1]táj.2'!M574</f>
        <v>237479</v>
      </c>
      <c r="N574" s="660">
        <f>0+'[1]táj.2'!N574</f>
        <v>0</v>
      </c>
      <c r="O574" s="660">
        <f>0+'[1]táj.2'!O574</f>
        <v>0</v>
      </c>
      <c r="P574" s="660">
        <f>0+'[1]táj.2'!P574</f>
        <v>0</v>
      </c>
      <c r="Q574" s="11">
        <f t="shared" si="32"/>
        <v>244281</v>
      </c>
    </row>
    <row r="575" spans="1:17" ht="30.75" customHeight="1">
      <c r="A575" s="70"/>
      <c r="B575" s="70"/>
      <c r="C575" s="212" t="s">
        <v>281</v>
      </c>
      <c r="D575" s="114" t="s">
        <v>490</v>
      </c>
      <c r="E575" s="322"/>
      <c r="F575" s="11">
        <v>163640</v>
      </c>
      <c r="G575" s="660">
        <f>2459+'[1]táj.2'!G575</f>
        <v>2459</v>
      </c>
      <c r="H575" s="660">
        <f>541+'[1]táj.2'!H575</f>
        <v>541</v>
      </c>
      <c r="I575" s="660">
        <f>3802+'[1]táj.2'!I575</f>
        <v>3802</v>
      </c>
      <c r="J575" s="660">
        <f>0+'[1]táj.2'!J575</f>
        <v>0</v>
      </c>
      <c r="K575" s="660">
        <f>0+'[1]táj.2'!K575</f>
        <v>0</v>
      </c>
      <c r="L575" s="660">
        <f>0+'[1]táj.2'!L575</f>
        <v>0</v>
      </c>
      <c r="M575" s="660">
        <f>236368+'[1]táj.2'!M575</f>
        <v>236368</v>
      </c>
      <c r="N575" s="660">
        <f>0+'[1]táj.2'!N575</f>
        <v>0</v>
      </c>
      <c r="O575" s="660">
        <f>0+'[1]táj.2'!O575</f>
        <v>0</v>
      </c>
      <c r="P575" s="660">
        <f>0+'[1]táj.2'!P575</f>
        <v>0</v>
      </c>
      <c r="Q575" s="11">
        <f t="shared" si="32"/>
        <v>243170</v>
      </c>
    </row>
    <row r="576" spans="1:17" ht="21" customHeight="1">
      <c r="A576" s="70"/>
      <c r="B576" s="70"/>
      <c r="C576" s="323" t="s">
        <v>302</v>
      </c>
      <c r="D576" s="765" t="s">
        <v>329</v>
      </c>
      <c r="E576" s="384"/>
      <c r="F576" s="11">
        <v>162630</v>
      </c>
      <c r="G576" s="660">
        <f>0+'[1]táj.2'!G576</f>
        <v>0</v>
      </c>
      <c r="H576" s="660">
        <f>0+'[1]táj.2'!H576</f>
        <v>0</v>
      </c>
      <c r="I576" s="660">
        <f>53005+'[1]táj.2'!I576</f>
        <v>53005</v>
      </c>
      <c r="J576" s="660">
        <f>0+'[1]táj.2'!J576</f>
        <v>0</v>
      </c>
      <c r="K576" s="660">
        <f>0+'[1]táj.2'!K576</f>
        <v>0</v>
      </c>
      <c r="L576" s="660">
        <f>836633+'[1]táj.2'!L576</f>
        <v>834747</v>
      </c>
      <c r="M576" s="660">
        <f>247079+'[1]táj.2'!M576</f>
        <v>256129</v>
      </c>
      <c r="N576" s="660">
        <f>0+'[1]táj.2'!N576</f>
        <v>1886</v>
      </c>
      <c r="O576" s="660">
        <f>0+'[1]táj.2'!O576</f>
        <v>0</v>
      </c>
      <c r="P576" s="660">
        <f>0+'[1]táj.2'!P576</f>
        <v>0</v>
      </c>
      <c r="Q576" s="11">
        <f t="shared" si="32"/>
        <v>1145767</v>
      </c>
    </row>
    <row r="577" spans="1:17" ht="16.5" customHeight="1">
      <c r="A577" s="70"/>
      <c r="B577" s="70"/>
      <c r="C577" s="212"/>
      <c r="D577" s="731" t="s">
        <v>11</v>
      </c>
      <c r="E577" s="384"/>
      <c r="F577" s="11"/>
      <c r="G577" s="660"/>
      <c r="H577" s="660"/>
      <c r="I577" s="660"/>
      <c r="J577" s="660"/>
      <c r="K577" s="660"/>
      <c r="L577" s="660"/>
      <c r="M577" s="660"/>
      <c r="N577" s="660"/>
      <c r="O577" s="660"/>
      <c r="P577" s="660"/>
      <c r="Q577" s="11"/>
    </row>
    <row r="578" spans="1:17" ht="23.25" customHeight="1">
      <c r="A578" s="70"/>
      <c r="B578" s="70"/>
      <c r="C578" s="212"/>
      <c r="D578" s="281" t="s">
        <v>12</v>
      </c>
      <c r="E578" s="384"/>
      <c r="F578" s="11"/>
      <c r="G578" s="660"/>
      <c r="H578" s="660"/>
      <c r="I578" s="660"/>
      <c r="J578" s="660"/>
      <c r="K578" s="660"/>
      <c r="L578" s="660"/>
      <c r="M578" s="660"/>
      <c r="N578" s="660"/>
      <c r="O578" s="660"/>
      <c r="P578" s="660"/>
      <c r="Q578" s="11"/>
    </row>
    <row r="579" spans="1:17" ht="16.5" customHeight="1">
      <c r="A579" s="70"/>
      <c r="B579" s="70"/>
      <c r="C579" s="212"/>
      <c r="D579" s="281" t="s">
        <v>13</v>
      </c>
      <c r="E579" s="384"/>
      <c r="F579" s="11"/>
      <c r="G579" s="660"/>
      <c r="H579" s="660"/>
      <c r="I579" s="660"/>
      <c r="J579" s="660"/>
      <c r="K579" s="660"/>
      <c r="L579" s="660"/>
      <c r="M579" s="660"/>
      <c r="N579" s="660"/>
      <c r="O579" s="660"/>
      <c r="P579" s="660"/>
      <c r="Q579" s="11"/>
    </row>
    <row r="580" spans="1:17" ht="27" customHeight="1">
      <c r="A580" s="70"/>
      <c r="B580" s="70"/>
      <c r="C580" s="212"/>
      <c r="D580" s="641" t="s">
        <v>14</v>
      </c>
      <c r="E580" s="384"/>
      <c r="F580" s="11"/>
      <c r="G580" s="660"/>
      <c r="H580" s="660"/>
      <c r="I580" s="660"/>
      <c r="J580" s="660"/>
      <c r="K580" s="660"/>
      <c r="L580" s="660"/>
      <c r="M580" s="660"/>
      <c r="N580" s="660"/>
      <c r="O580" s="660"/>
      <c r="P580" s="660"/>
      <c r="Q580" s="11"/>
    </row>
    <row r="581" spans="1:17" ht="27" customHeight="1">
      <c r="A581" s="70"/>
      <c r="B581" s="70"/>
      <c r="C581" s="212"/>
      <c r="D581" s="282" t="s">
        <v>874</v>
      </c>
      <c r="E581" s="384"/>
      <c r="F581" s="11"/>
      <c r="G581" s="660"/>
      <c r="H581" s="660"/>
      <c r="I581" s="660"/>
      <c r="J581" s="660"/>
      <c r="K581" s="660"/>
      <c r="L581" s="660"/>
      <c r="M581" s="660"/>
      <c r="N581" s="660"/>
      <c r="O581" s="660"/>
      <c r="P581" s="660"/>
      <c r="Q581" s="11"/>
    </row>
    <row r="582" spans="1:17" ht="25.5" customHeight="1">
      <c r="A582" s="70"/>
      <c r="B582" s="70"/>
      <c r="C582" s="212"/>
      <c r="D582" s="641" t="s">
        <v>15</v>
      </c>
      <c r="E582" s="384"/>
      <c r="F582" s="11"/>
      <c r="G582" s="660"/>
      <c r="H582" s="660"/>
      <c r="I582" s="660"/>
      <c r="J582" s="660"/>
      <c r="K582" s="660"/>
      <c r="L582" s="660"/>
      <c r="M582" s="660"/>
      <c r="N582" s="660"/>
      <c r="O582" s="660"/>
      <c r="P582" s="660"/>
      <c r="Q582" s="11"/>
    </row>
    <row r="583" spans="1:17" ht="16.5" customHeight="1">
      <c r="A583" s="70"/>
      <c r="B583" s="70"/>
      <c r="C583" s="212"/>
      <c r="D583" s="283" t="s">
        <v>16</v>
      </c>
      <c r="E583" s="384"/>
      <c r="F583" s="11"/>
      <c r="G583" s="660"/>
      <c r="H583" s="660"/>
      <c r="I583" s="660"/>
      <c r="J583" s="660"/>
      <c r="K583" s="660"/>
      <c r="L583" s="660"/>
      <c r="M583" s="660"/>
      <c r="N583" s="660"/>
      <c r="O583" s="660"/>
      <c r="P583" s="660"/>
      <c r="Q583" s="11"/>
    </row>
    <row r="584" spans="1:17" ht="16.5" customHeight="1">
      <c r="A584" s="70"/>
      <c r="B584" s="70"/>
      <c r="C584" s="212"/>
      <c r="D584" s="283" t="s">
        <v>17</v>
      </c>
      <c r="E584" s="384"/>
      <c r="F584" s="11"/>
      <c r="G584" s="660"/>
      <c r="H584" s="660"/>
      <c r="I584" s="660"/>
      <c r="J584" s="660"/>
      <c r="K584" s="660"/>
      <c r="L584" s="660"/>
      <c r="M584" s="660"/>
      <c r="N584" s="660"/>
      <c r="O584" s="660"/>
      <c r="P584" s="660"/>
      <c r="Q584" s="11"/>
    </row>
    <row r="585" spans="1:17" ht="16.5" customHeight="1">
      <c r="A585" s="70"/>
      <c r="B585" s="70"/>
      <c r="C585" s="212"/>
      <c r="D585" s="283" t="s">
        <v>18</v>
      </c>
      <c r="E585" s="384"/>
      <c r="F585" s="11"/>
      <c r="G585" s="660"/>
      <c r="H585" s="660"/>
      <c r="I585" s="660"/>
      <c r="J585" s="660"/>
      <c r="K585" s="660"/>
      <c r="L585" s="660"/>
      <c r="M585" s="660"/>
      <c r="N585" s="660"/>
      <c r="O585" s="660"/>
      <c r="P585" s="660"/>
      <c r="Q585" s="11"/>
    </row>
    <row r="586" spans="1:17" ht="16.5" customHeight="1">
      <c r="A586" s="70"/>
      <c r="B586" s="70"/>
      <c r="C586" s="212"/>
      <c r="D586" s="283" t="s">
        <v>19</v>
      </c>
      <c r="E586" s="384"/>
      <c r="F586" s="11"/>
      <c r="G586" s="660"/>
      <c r="H586" s="660"/>
      <c r="I586" s="660"/>
      <c r="J586" s="660"/>
      <c r="K586" s="660"/>
      <c r="L586" s="660"/>
      <c r="M586" s="660"/>
      <c r="N586" s="660"/>
      <c r="O586" s="660"/>
      <c r="P586" s="660"/>
      <c r="Q586" s="11"/>
    </row>
    <row r="587" spans="1:17" ht="27" customHeight="1">
      <c r="A587" s="70"/>
      <c r="B587" s="70"/>
      <c r="C587" s="212"/>
      <c r="D587" s="283" t="s">
        <v>20</v>
      </c>
      <c r="E587" s="384"/>
      <c r="F587" s="11"/>
      <c r="G587" s="660"/>
      <c r="H587" s="660"/>
      <c r="I587" s="660"/>
      <c r="J587" s="660"/>
      <c r="K587" s="660"/>
      <c r="L587" s="660"/>
      <c r="M587" s="660"/>
      <c r="N587" s="660"/>
      <c r="O587" s="660"/>
      <c r="P587" s="660"/>
      <c r="Q587" s="11"/>
    </row>
    <row r="588" spans="1:17" ht="15.75" customHeight="1">
      <c r="A588" s="70"/>
      <c r="B588" s="70"/>
      <c r="C588" s="212"/>
      <c r="D588" s="283" t="s">
        <v>21</v>
      </c>
      <c r="E588" s="384"/>
      <c r="F588" s="11"/>
      <c r="G588" s="660"/>
      <c r="H588" s="660"/>
      <c r="I588" s="660"/>
      <c r="J588" s="660"/>
      <c r="K588" s="660"/>
      <c r="L588" s="660"/>
      <c r="M588" s="660"/>
      <c r="N588" s="660"/>
      <c r="O588" s="660"/>
      <c r="P588" s="660"/>
      <c r="Q588" s="11"/>
    </row>
    <row r="589" spans="1:17" ht="27" customHeight="1">
      <c r="A589" s="70"/>
      <c r="B589" s="70"/>
      <c r="C589" s="212"/>
      <c r="D589" s="283" t="s">
        <v>22</v>
      </c>
      <c r="E589" s="384"/>
      <c r="F589" s="11"/>
      <c r="G589" s="660"/>
      <c r="H589" s="660"/>
      <c r="I589" s="660"/>
      <c r="J589" s="660"/>
      <c r="K589" s="660"/>
      <c r="L589" s="660"/>
      <c r="M589" s="660"/>
      <c r="N589" s="660"/>
      <c r="O589" s="660"/>
      <c r="P589" s="660"/>
      <c r="Q589" s="11"/>
    </row>
    <row r="590" spans="1:17" ht="16.5" customHeight="1">
      <c r="A590" s="70"/>
      <c r="B590" s="70"/>
      <c r="C590" s="212"/>
      <c r="D590" s="283" t="s">
        <v>23</v>
      </c>
      <c r="E590" s="384"/>
      <c r="F590" s="11"/>
      <c r="G590" s="660"/>
      <c r="H590" s="660"/>
      <c r="I590" s="660"/>
      <c r="J590" s="660"/>
      <c r="K590" s="660"/>
      <c r="L590" s="660"/>
      <c r="M590" s="660"/>
      <c r="N590" s="660"/>
      <c r="O590" s="660"/>
      <c r="P590" s="660"/>
      <c r="Q590" s="11"/>
    </row>
    <row r="591" spans="1:17" ht="16.5" customHeight="1">
      <c r="A591" s="70"/>
      <c r="B591" s="70"/>
      <c r="C591" s="212"/>
      <c r="D591" s="283" t="s">
        <v>24</v>
      </c>
      <c r="E591" s="384"/>
      <c r="F591" s="11"/>
      <c r="G591" s="660"/>
      <c r="H591" s="660"/>
      <c r="I591" s="660"/>
      <c r="J591" s="660"/>
      <c r="K591" s="660"/>
      <c r="L591" s="660"/>
      <c r="M591" s="660"/>
      <c r="N591" s="660"/>
      <c r="O591" s="660"/>
      <c r="P591" s="660"/>
      <c r="Q591" s="11"/>
    </row>
    <row r="592" spans="1:17" ht="16.5" customHeight="1">
      <c r="A592" s="70"/>
      <c r="B592" s="70"/>
      <c r="C592" s="212"/>
      <c r="D592" s="283" t="s">
        <v>25</v>
      </c>
      <c r="E592" s="384"/>
      <c r="F592" s="11"/>
      <c r="G592" s="660"/>
      <c r="H592" s="660"/>
      <c r="I592" s="660"/>
      <c r="J592" s="660"/>
      <c r="K592" s="660"/>
      <c r="L592" s="660"/>
      <c r="M592" s="660"/>
      <c r="N592" s="660"/>
      <c r="O592" s="660"/>
      <c r="P592" s="660"/>
      <c r="Q592" s="11"/>
    </row>
    <row r="593" spans="1:17" ht="16.5" customHeight="1">
      <c r="A593" s="70"/>
      <c r="B593" s="70"/>
      <c r="C593" s="212"/>
      <c r="D593" s="283" t="s">
        <v>26</v>
      </c>
      <c r="E593" s="384"/>
      <c r="F593" s="11"/>
      <c r="G593" s="660"/>
      <c r="H593" s="660"/>
      <c r="I593" s="660"/>
      <c r="J593" s="660"/>
      <c r="K593" s="660"/>
      <c r="L593" s="660"/>
      <c r="M593" s="660"/>
      <c r="N593" s="660"/>
      <c r="O593" s="660"/>
      <c r="P593" s="660"/>
      <c r="Q593" s="11"/>
    </row>
    <row r="594" spans="1:17" ht="16.5" customHeight="1">
      <c r="A594" s="70"/>
      <c r="B594" s="70"/>
      <c r="C594" s="212"/>
      <c r="D594" s="283" t="s">
        <v>27</v>
      </c>
      <c r="E594" s="384"/>
      <c r="F594" s="11"/>
      <c r="G594" s="660"/>
      <c r="H594" s="660"/>
      <c r="I594" s="660"/>
      <c r="J594" s="660"/>
      <c r="K594" s="660"/>
      <c r="L594" s="660"/>
      <c r="M594" s="660"/>
      <c r="N594" s="660"/>
      <c r="O594" s="660"/>
      <c r="P594" s="660"/>
      <c r="Q594" s="11"/>
    </row>
    <row r="595" spans="1:17" ht="24" customHeight="1">
      <c r="A595" s="70"/>
      <c r="B595" s="70"/>
      <c r="C595" s="212"/>
      <c r="D595" s="283" t="s">
        <v>28</v>
      </c>
      <c r="E595" s="384"/>
      <c r="F595" s="11"/>
      <c r="G595" s="660"/>
      <c r="H595" s="660"/>
      <c r="I595" s="660"/>
      <c r="J595" s="660"/>
      <c r="K595" s="660"/>
      <c r="L595" s="660"/>
      <c r="M595" s="660"/>
      <c r="N595" s="660"/>
      <c r="O595" s="660"/>
      <c r="P595" s="660"/>
      <c r="Q595" s="11"/>
    </row>
    <row r="596" spans="1:17" ht="16.5" customHeight="1">
      <c r="A596" s="70"/>
      <c r="B596" s="70"/>
      <c r="C596" s="212"/>
      <c r="D596" s="283" t="s">
        <v>29</v>
      </c>
      <c r="E596" s="384"/>
      <c r="F596" s="11"/>
      <c r="G596" s="660"/>
      <c r="H596" s="660"/>
      <c r="I596" s="660"/>
      <c r="J596" s="660"/>
      <c r="K596" s="660"/>
      <c r="L596" s="660"/>
      <c r="M596" s="660"/>
      <c r="N596" s="660"/>
      <c r="O596" s="660"/>
      <c r="P596" s="660"/>
      <c r="Q596" s="11"/>
    </row>
    <row r="597" spans="1:17" ht="16.5" customHeight="1">
      <c r="A597" s="70"/>
      <c r="B597" s="70"/>
      <c r="C597" s="212"/>
      <c r="D597" s="283" t="s">
        <v>30</v>
      </c>
      <c r="E597" s="384"/>
      <c r="F597" s="11"/>
      <c r="G597" s="660"/>
      <c r="H597" s="660"/>
      <c r="I597" s="660"/>
      <c r="J597" s="660"/>
      <c r="K597" s="660"/>
      <c r="L597" s="660"/>
      <c r="M597" s="660"/>
      <c r="N597" s="660"/>
      <c r="O597" s="660"/>
      <c r="P597" s="660"/>
      <c r="Q597" s="11"/>
    </row>
    <row r="598" spans="1:17" ht="16.5" customHeight="1">
      <c r="A598" s="70"/>
      <c r="B598" s="70"/>
      <c r="C598" s="212"/>
      <c r="D598" s="283" t="s">
        <v>31</v>
      </c>
      <c r="E598" s="384"/>
      <c r="F598" s="11"/>
      <c r="G598" s="660"/>
      <c r="H598" s="660"/>
      <c r="I598" s="660"/>
      <c r="J598" s="660"/>
      <c r="K598" s="660"/>
      <c r="L598" s="660"/>
      <c r="M598" s="660"/>
      <c r="N598" s="660"/>
      <c r="O598" s="660"/>
      <c r="P598" s="660"/>
      <c r="Q598" s="11"/>
    </row>
    <row r="599" spans="1:17" ht="16.5" customHeight="1">
      <c r="A599" s="70"/>
      <c r="B599" s="70"/>
      <c r="C599" s="212"/>
      <c r="D599" s="283" t="s">
        <v>32</v>
      </c>
      <c r="E599" s="384"/>
      <c r="F599" s="11"/>
      <c r="G599" s="660"/>
      <c r="H599" s="660"/>
      <c r="I599" s="660"/>
      <c r="J599" s="660"/>
      <c r="K599" s="660"/>
      <c r="L599" s="660"/>
      <c r="M599" s="660"/>
      <c r="N599" s="660"/>
      <c r="O599" s="660"/>
      <c r="P599" s="660"/>
      <c r="Q599" s="11"/>
    </row>
    <row r="600" spans="1:17" ht="16.5" customHeight="1">
      <c r="A600" s="70"/>
      <c r="B600" s="70"/>
      <c r="C600" s="212"/>
      <c r="D600" s="283" t="s">
        <v>33</v>
      </c>
      <c r="E600" s="384"/>
      <c r="F600" s="11"/>
      <c r="G600" s="660"/>
      <c r="H600" s="660"/>
      <c r="I600" s="660"/>
      <c r="J600" s="660"/>
      <c r="K600" s="660"/>
      <c r="L600" s="660"/>
      <c r="M600" s="660"/>
      <c r="N600" s="660"/>
      <c r="O600" s="660"/>
      <c r="P600" s="660"/>
      <c r="Q600" s="11"/>
    </row>
    <row r="601" spans="1:17" ht="16.5" customHeight="1">
      <c r="A601" s="70"/>
      <c r="B601" s="70"/>
      <c r="C601" s="212"/>
      <c r="D601" s="283" t="s">
        <v>34</v>
      </c>
      <c r="E601" s="384"/>
      <c r="F601" s="11"/>
      <c r="G601" s="660"/>
      <c r="H601" s="660"/>
      <c r="I601" s="660"/>
      <c r="J601" s="660"/>
      <c r="K601" s="660"/>
      <c r="L601" s="660"/>
      <c r="M601" s="660"/>
      <c r="N601" s="660"/>
      <c r="O601" s="660"/>
      <c r="P601" s="660"/>
      <c r="Q601" s="11"/>
    </row>
    <row r="602" spans="1:17" ht="16.5" customHeight="1">
      <c r="A602" s="70"/>
      <c r="B602" s="70"/>
      <c r="C602" s="212"/>
      <c r="D602" s="283" t="s">
        <v>35</v>
      </c>
      <c r="E602" s="384"/>
      <c r="F602" s="11"/>
      <c r="G602" s="660"/>
      <c r="H602" s="660"/>
      <c r="I602" s="660"/>
      <c r="J602" s="660"/>
      <c r="K602" s="660"/>
      <c r="L602" s="660"/>
      <c r="M602" s="660"/>
      <c r="N602" s="660"/>
      <c r="O602" s="660"/>
      <c r="P602" s="660"/>
      <c r="Q602" s="11"/>
    </row>
    <row r="603" spans="1:17" ht="27" customHeight="1">
      <c r="A603" s="70"/>
      <c r="B603" s="70"/>
      <c r="C603" s="212"/>
      <c r="D603" s="283" t="s">
        <v>90</v>
      </c>
      <c r="E603" s="384"/>
      <c r="F603" s="11"/>
      <c r="G603" s="660"/>
      <c r="H603" s="660"/>
      <c r="I603" s="660"/>
      <c r="J603" s="660"/>
      <c r="K603" s="660"/>
      <c r="L603" s="660"/>
      <c r="M603" s="660"/>
      <c r="N603" s="660"/>
      <c r="O603" s="660"/>
      <c r="P603" s="660"/>
      <c r="Q603" s="11"/>
    </row>
    <row r="604" spans="1:17" ht="27.75" customHeight="1">
      <c r="A604" s="70"/>
      <c r="B604" s="70"/>
      <c r="C604" s="212"/>
      <c r="D604" s="283" t="s">
        <v>91</v>
      </c>
      <c r="E604" s="384"/>
      <c r="F604" s="11"/>
      <c r="G604" s="660"/>
      <c r="H604" s="660"/>
      <c r="I604" s="660"/>
      <c r="J604" s="660"/>
      <c r="K604" s="660"/>
      <c r="L604" s="660"/>
      <c r="M604" s="660"/>
      <c r="N604" s="660"/>
      <c r="O604" s="660"/>
      <c r="P604" s="660"/>
      <c r="Q604" s="11"/>
    </row>
    <row r="605" spans="1:17" ht="25.5" customHeight="1">
      <c r="A605" s="70"/>
      <c r="B605" s="70"/>
      <c r="C605" s="212"/>
      <c r="D605" s="283" t="s">
        <v>92</v>
      </c>
      <c r="E605" s="384"/>
      <c r="F605" s="11"/>
      <c r="G605" s="660"/>
      <c r="H605" s="660"/>
      <c r="I605" s="660"/>
      <c r="J605" s="660"/>
      <c r="K605" s="660"/>
      <c r="L605" s="660"/>
      <c r="M605" s="660"/>
      <c r="N605" s="660"/>
      <c r="O605" s="660"/>
      <c r="P605" s="660"/>
      <c r="Q605" s="11"/>
    </row>
    <row r="606" spans="1:17" ht="15" customHeight="1">
      <c r="A606" s="70"/>
      <c r="B606" s="70"/>
      <c r="C606" s="212"/>
      <c r="D606" s="283" t="s">
        <v>93</v>
      </c>
      <c r="E606" s="384"/>
      <c r="F606" s="11"/>
      <c r="G606" s="660"/>
      <c r="H606" s="660"/>
      <c r="I606" s="660"/>
      <c r="J606" s="660"/>
      <c r="K606" s="660"/>
      <c r="L606" s="660"/>
      <c r="M606" s="660"/>
      <c r="N606" s="660"/>
      <c r="O606" s="660"/>
      <c r="P606" s="660"/>
      <c r="Q606" s="11"/>
    </row>
    <row r="607" spans="1:17" ht="27.75" customHeight="1">
      <c r="A607" s="70"/>
      <c r="B607" s="70"/>
      <c r="C607" s="212"/>
      <c r="D607" s="283" t="s">
        <v>94</v>
      </c>
      <c r="E607" s="384"/>
      <c r="F607" s="11"/>
      <c r="G607" s="660"/>
      <c r="H607" s="660"/>
      <c r="I607" s="660"/>
      <c r="J607" s="660"/>
      <c r="K607" s="660"/>
      <c r="L607" s="660"/>
      <c r="M607" s="660"/>
      <c r="N607" s="660"/>
      <c r="O607" s="660"/>
      <c r="P607" s="660"/>
      <c r="Q607" s="11"/>
    </row>
    <row r="608" spans="1:17" ht="16.5" customHeight="1">
      <c r="A608" s="70"/>
      <c r="B608" s="70"/>
      <c r="C608" s="323" t="s">
        <v>282</v>
      </c>
      <c r="D608" s="766" t="s">
        <v>959</v>
      </c>
      <c r="E608" s="382"/>
      <c r="F608" s="11"/>
      <c r="G608" s="660"/>
      <c r="H608" s="660"/>
      <c r="I608" s="660"/>
      <c r="J608" s="660"/>
      <c r="K608" s="660"/>
      <c r="L608" s="660"/>
      <c r="M608" s="660"/>
      <c r="N608" s="660"/>
      <c r="O608" s="660"/>
      <c r="P608" s="660"/>
      <c r="Q608" s="11"/>
    </row>
    <row r="609" spans="1:17" ht="27" customHeight="1">
      <c r="A609" s="70"/>
      <c r="B609" s="70"/>
      <c r="C609" s="280" t="s">
        <v>283</v>
      </c>
      <c r="D609" s="223" t="s">
        <v>1100</v>
      </c>
      <c r="F609" s="11">
        <v>163641</v>
      </c>
      <c r="G609" s="660">
        <f>0+'[1]táj.2'!G609</f>
        <v>0</v>
      </c>
      <c r="H609" s="660">
        <f>0+'[1]táj.2'!H609</f>
        <v>0</v>
      </c>
      <c r="I609" s="660">
        <f>0+'[1]táj.2'!I609</f>
        <v>0</v>
      </c>
      <c r="J609" s="660">
        <f>0+'[1]táj.2'!J609</f>
        <v>0</v>
      </c>
      <c r="K609" s="660">
        <f>0+'[1]táj.2'!K609</f>
        <v>0</v>
      </c>
      <c r="L609" s="660">
        <f>0+'[1]táj.2'!L609</f>
        <v>0</v>
      </c>
      <c r="M609" s="660">
        <f>255358+'[1]táj.2'!M609</f>
        <v>255358</v>
      </c>
      <c r="N609" s="660">
        <f>0+'[1]táj.2'!N609</f>
        <v>0</v>
      </c>
      <c r="O609" s="660">
        <f>0+'[1]táj.2'!O609</f>
        <v>0</v>
      </c>
      <c r="P609" s="660">
        <f>0+'[1]táj.2'!P609</f>
        <v>0</v>
      </c>
      <c r="Q609" s="11">
        <f>SUM(G609:P609)</f>
        <v>255358</v>
      </c>
    </row>
    <row r="610" spans="1:17" ht="24.75" customHeight="1">
      <c r="A610" s="70"/>
      <c r="B610" s="70"/>
      <c r="C610" s="212" t="s">
        <v>284</v>
      </c>
      <c r="D610" s="639" t="s">
        <v>1077</v>
      </c>
      <c r="E610" s="767"/>
      <c r="F610" s="11">
        <v>163621</v>
      </c>
      <c r="G610" s="660">
        <f>514+'[1]táj.2'!G610</f>
        <v>514</v>
      </c>
      <c r="H610" s="660">
        <f>121+'[1]táj.2'!H610</f>
        <v>121</v>
      </c>
      <c r="I610" s="660">
        <f>293678+'[1]táj.2'!I610</f>
        <v>447108</v>
      </c>
      <c r="J610" s="660">
        <f>0+'[1]táj.2'!J610</f>
        <v>0</v>
      </c>
      <c r="K610" s="660">
        <f>0+'[1]táj.2'!K610</f>
        <v>0</v>
      </c>
      <c r="L610" s="660">
        <f>3339231+'[1]táj.2'!L610</f>
        <v>2981150</v>
      </c>
      <c r="M610" s="660">
        <f>195196+'[1]táj.2'!M610</f>
        <v>400165</v>
      </c>
      <c r="N610" s="660">
        <f>0+'[1]táj.2'!N610</f>
        <v>0</v>
      </c>
      <c r="O610" s="660">
        <f>0+'[1]táj.2'!O610</f>
        <v>0</v>
      </c>
      <c r="P610" s="660">
        <f>0+'[1]táj.2'!P610</f>
        <v>0</v>
      </c>
      <c r="Q610" s="11">
        <f>SUM(G610:P610)</f>
        <v>3829058</v>
      </c>
    </row>
    <row r="611" spans="1:17" ht="16.5" customHeight="1">
      <c r="A611" s="70"/>
      <c r="B611" s="70"/>
      <c r="C611" s="212" t="s">
        <v>285</v>
      </c>
      <c r="D611" s="265" t="s">
        <v>361</v>
      </c>
      <c r="E611" s="250"/>
      <c r="F611" s="11">
        <v>162687</v>
      </c>
      <c r="G611" s="660">
        <f>0+'[1]táj.2'!G611</f>
        <v>0</v>
      </c>
      <c r="H611" s="660">
        <f>0+'[1]táj.2'!H611</f>
        <v>0</v>
      </c>
      <c r="I611" s="660">
        <f>116485+'[1]táj.2'!I611</f>
        <v>1493581</v>
      </c>
      <c r="J611" s="660">
        <f>0+'[1]táj.2'!J611</f>
        <v>0</v>
      </c>
      <c r="K611" s="660">
        <f>0+'[1]táj.2'!K611</f>
        <v>0</v>
      </c>
      <c r="L611" s="660">
        <f>6645944+'[1]táj.2'!L611</f>
        <v>5326132</v>
      </c>
      <c r="M611" s="660">
        <f>269446+'[1]táj.2'!M611</f>
        <v>212162</v>
      </c>
      <c r="N611" s="660">
        <f>0+'[1]táj.2'!N611</f>
        <v>0</v>
      </c>
      <c r="O611" s="660">
        <f>0+'[1]táj.2'!O611</f>
        <v>0</v>
      </c>
      <c r="P611" s="660">
        <f>0+'[1]táj.2'!P611</f>
        <v>0</v>
      </c>
      <c r="Q611" s="11">
        <f>SUM(G611:P611)</f>
        <v>7031875</v>
      </c>
    </row>
    <row r="612" spans="1:17" ht="27.75" customHeight="1">
      <c r="A612" s="70"/>
      <c r="B612" s="70"/>
      <c r="C612" s="212" t="s">
        <v>286</v>
      </c>
      <c r="D612" s="223" t="s">
        <v>981</v>
      </c>
      <c r="E612" s="382"/>
      <c r="F612" s="11">
        <v>163702</v>
      </c>
      <c r="G612" s="660">
        <f>0+'[1]táj.2'!G612</f>
        <v>0</v>
      </c>
      <c r="H612" s="660">
        <f>0+'[1]táj.2'!H612</f>
        <v>0</v>
      </c>
      <c r="I612" s="660">
        <f>394993+'[1]táj.2'!I612</f>
        <v>394993</v>
      </c>
      <c r="J612" s="660">
        <f>0+'[1]táj.2'!J612</f>
        <v>0</v>
      </c>
      <c r="K612" s="660">
        <f>0+'[1]táj.2'!K612</f>
        <v>0</v>
      </c>
      <c r="L612" s="660">
        <f>1225070+'[1]táj.2'!L612</f>
        <v>1225070</v>
      </c>
      <c r="M612" s="660">
        <f>36118+'[1]táj.2'!M612</f>
        <v>36118</v>
      </c>
      <c r="N612" s="660">
        <f>0+'[1]táj.2'!N612</f>
        <v>0</v>
      </c>
      <c r="O612" s="660">
        <f>0+'[1]táj.2'!O612</f>
        <v>0</v>
      </c>
      <c r="P612" s="660">
        <f>0+'[1]táj.2'!P612</f>
        <v>0</v>
      </c>
      <c r="Q612" s="11">
        <f>SUM(G612:P612)</f>
        <v>1656181</v>
      </c>
    </row>
    <row r="613" spans="1:17" ht="27.75" customHeight="1">
      <c r="A613" s="70"/>
      <c r="B613" s="70"/>
      <c r="C613" s="212" t="s">
        <v>287</v>
      </c>
      <c r="D613" s="223" t="s">
        <v>934</v>
      </c>
      <c r="E613" s="395"/>
      <c r="F613" s="11">
        <v>162677</v>
      </c>
      <c r="G613" s="660">
        <f>0+'[1]táj.2'!G613</f>
        <v>0</v>
      </c>
      <c r="H613" s="660">
        <f>0+'[1]táj.2'!H613</f>
        <v>0</v>
      </c>
      <c r="I613" s="660">
        <f>0+'[1]táj.2'!I613</f>
        <v>0</v>
      </c>
      <c r="J613" s="660">
        <f>0+'[1]táj.2'!J613</f>
        <v>0</v>
      </c>
      <c r="K613" s="660">
        <f>0+'[1]táj.2'!K613</f>
        <v>0</v>
      </c>
      <c r="L613" s="660">
        <f>0+'[1]táj.2'!L613</f>
        <v>0</v>
      </c>
      <c r="M613" s="660">
        <f>0+'[1]táj.2'!M613</f>
        <v>0</v>
      </c>
      <c r="N613" s="660">
        <f>65858+'[1]táj.2'!N613</f>
        <v>65858</v>
      </c>
      <c r="O613" s="660">
        <f>0+'[1]táj.2'!O613</f>
        <v>0</v>
      </c>
      <c r="P613" s="660">
        <f>0+'[1]táj.2'!P613</f>
        <v>0</v>
      </c>
      <c r="Q613" s="11">
        <f>SUM(G613:P613)</f>
        <v>65858</v>
      </c>
    </row>
    <row r="614" spans="1:17" ht="18" customHeight="1">
      <c r="A614" s="70"/>
      <c r="B614" s="70"/>
      <c r="C614" s="324" t="s">
        <v>288</v>
      </c>
      <c r="D614" s="768" t="s">
        <v>935</v>
      </c>
      <c r="E614" s="767"/>
      <c r="F614" s="11"/>
      <c r="G614" s="660"/>
      <c r="H614" s="660"/>
      <c r="I614" s="660"/>
      <c r="J614" s="660"/>
      <c r="K614" s="660"/>
      <c r="L614" s="660"/>
      <c r="M614" s="660"/>
      <c r="N614" s="660"/>
      <c r="O614" s="660"/>
      <c r="P614" s="660"/>
      <c r="Q614" s="11"/>
    </row>
    <row r="615" spans="1:17" ht="27.75" customHeight="1">
      <c r="A615" s="70"/>
      <c r="B615" s="70"/>
      <c r="C615" s="280" t="s">
        <v>289</v>
      </c>
      <c r="D615" s="223" t="s">
        <v>77</v>
      </c>
      <c r="F615" s="11">
        <v>163643</v>
      </c>
      <c r="G615" s="660">
        <f>1692+'[1]táj.2'!G615</f>
        <v>1692</v>
      </c>
      <c r="H615" s="660">
        <f>330+'[1]táj.2'!H615</f>
        <v>330</v>
      </c>
      <c r="I615" s="660">
        <f>2454+'[1]táj.2'!I615</f>
        <v>2454</v>
      </c>
      <c r="J615" s="660">
        <f>0+'[1]táj.2'!J615</f>
        <v>0</v>
      </c>
      <c r="K615" s="660">
        <f>0+'[1]táj.2'!K615</f>
        <v>0</v>
      </c>
      <c r="L615" s="660">
        <f>506+'[1]táj.2'!L615</f>
        <v>506</v>
      </c>
      <c r="M615" s="660">
        <f>0+'[1]táj.2'!M615</f>
        <v>0</v>
      </c>
      <c r="N615" s="660">
        <f>0+'[1]táj.2'!N615</f>
        <v>0</v>
      </c>
      <c r="O615" s="660">
        <f>0+'[1]táj.2'!O615</f>
        <v>0</v>
      </c>
      <c r="P615" s="660">
        <f>0+'[1]táj.2'!P615</f>
        <v>0</v>
      </c>
      <c r="Q615" s="11">
        <f>SUM(G615:P615)</f>
        <v>4982</v>
      </c>
    </row>
    <row r="616" spans="1:17" ht="27.75" customHeight="1">
      <c r="A616" s="70"/>
      <c r="B616" s="70"/>
      <c r="C616" s="212" t="s">
        <v>290</v>
      </c>
      <c r="D616" s="95" t="s">
        <v>961</v>
      </c>
      <c r="E616" s="382"/>
      <c r="F616" s="11">
        <v>163700</v>
      </c>
      <c r="G616" s="660">
        <f>13510+'[1]táj.2'!G616</f>
        <v>13510</v>
      </c>
      <c r="H616" s="660">
        <f>2993+'[1]táj.2'!H616</f>
        <v>2993</v>
      </c>
      <c r="I616" s="660">
        <f>25909+'[1]táj.2'!I616</f>
        <v>25909</v>
      </c>
      <c r="J616" s="660">
        <f>0+'[1]táj.2'!J616</f>
        <v>0</v>
      </c>
      <c r="K616" s="660">
        <f>0+'[1]táj.2'!K616</f>
        <v>0</v>
      </c>
      <c r="L616" s="660">
        <f>0+'[1]táj.2'!L616</f>
        <v>0</v>
      </c>
      <c r="M616" s="660">
        <f>0+'[1]táj.2'!M616</f>
        <v>0</v>
      </c>
      <c r="N616" s="660">
        <f>0+'[1]táj.2'!N616</f>
        <v>0</v>
      </c>
      <c r="O616" s="660">
        <f>0+'[1]táj.2'!O616</f>
        <v>0</v>
      </c>
      <c r="P616" s="660">
        <f>0+'[1]táj.2'!P616</f>
        <v>0</v>
      </c>
      <c r="Q616" s="11">
        <f>SUM(G616:P616)</f>
        <v>42412</v>
      </c>
    </row>
    <row r="617" spans="1:17" ht="16.5" customHeight="1">
      <c r="A617" s="70"/>
      <c r="B617" s="70"/>
      <c r="C617" s="212" t="s">
        <v>291</v>
      </c>
      <c r="D617" s="271" t="s">
        <v>1047</v>
      </c>
      <c r="F617" s="11">
        <v>162605</v>
      </c>
      <c r="G617" s="660">
        <f>0+'[1]táj.2'!G617</f>
        <v>0</v>
      </c>
      <c r="H617" s="660">
        <f>0+'[1]táj.2'!H617</f>
        <v>0</v>
      </c>
      <c r="I617" s="660">
        <f>0+'[1]táj.2'!I617</f>
        <v>0</v>
      </c>
      <c r="J617" s="660">
        <f>0+'[1]táj.2'!J617</f>
        <v>0</v>
      </c>
      <c r="K617" s="660">
        <f>0+'[1]táj.2'!K617</f>
        <v>0</v>
      </c>
      <c r="L617" s="660">
        <f>500+'[1]táj.2'!L617</f>
        <v>500</v>
      </c>
      <c r="M617" s="660">
        <f>0+'[1]táj.2'!M617</f>
        <v>0</v>
      </c>
      <c r="N617" s="660">
        <f>0+'[1]táj.2'!N617</f>
        <v>0</v>
      </c>
      <c r="O617" s="660">
        <f>0+'[1]táj.2'!O617</f>
        <v>0</v>
      </c>
      <c r="P617" s="660">
        <f>0+'[1]táj.2'!P617</f>
        <v>0</v>
      </c>
      <c r="Q617" s="11">
        <f>SUM(G617:P617)</f>
        <v>500</v>
      </c>
    </row>
    <row r="618" spans="1:17" ht="41.25" customHeight="1">
      <c r="A618" s="70"/>
      <c r="B618" s="70"/>
      <c r="C618" s="212" t="s">
        <v>292</v>
      </c>
      <c r="D618" s="639" t="s">
        <v>706</v>
      </c>
      <c r="E618" s="725"/>
      <c r="F618" s="11">
        <v>162606</v>
      </c>
      <c r="G618" s="660">
        <f>0+'[1]táj.2'!G618</f>
        <v>0</v>
      </c>
      <c r="H618" s="660">
        <f>0+'[1]táj.2'!H618</f>
        <v>0</v>
      </c>
      <c r="I618" s="660">
        <f>27715+'[1]táj.2'!I618</f>
        <v>27715</v>
      </c>
      <c r="J618" s="660">
        <f>0+'[1]táj.2'!J618</f>
        <v>0</v>
      </c>
      <c r="K618" s="660">
        <f>0+'[1]táj.2'!K618</f>
        <v>0</v>
      </c>
      <c r="L618" s="660">
        <f>106160+'[1]táj.2'!L618</f>
        <v>106160</v>
      </c>
      <c r="M618" s="660">
        <f>0+'[1]táj.2'!M618</f>
        <v>0</v>
      </c>
      <c r="N618" s="660">
        <f>0+'[1]táj.2'!N618</f>
        <v>0</v>
      </c>
      <c r="O618" s="660">
        <f>0+'[1]táj.2'!O618</f>
        <v>0</v>
      </c>
      <c r="P618" s="660">
        <f>0+'[1]táj.2'!P618</f>
        <v>0</v>
      </c>
      <c r="Q618" s="11">
        <f>SUM(G618:P618)</f>
        <v>133875</v>
      </c>
    </row>
    <row r="619" spans="1:17" ht="17.25" customHeight="1">
      <c r="A619" s="70"/>
      <c r="B619" s="70"/>
      <c r="C619" s="212" t="s">
        <v>293</v>
      </c>
      <c r="D619" s="639" t="s">
        <v>1273</v>
      </c>
      <c r="F619" s="11">
        <v>162607</v>
      </c>
      <c r="G619" s="660">
        <f>2476+'[1]táj.2'!G619</f>
        <v>2476</v>
      </c>
      <c r="H619" s="660">
        <f>544+'[1]táj.2'!H619</f>
        <v>544</v>
      </c>
      <c r="I619" s="660">
        <f>6716+'[1]táj.2'!I619</f>
        <v>6716</v>
      </c>
      <c r="J619" s="660">
        <f>0+'[1]táj.2'!J619</f>
        <v>0</v>
      </c>
      <c r="K619" s="660">
        <f>0+'[1]táj.2'!K619</f>
        <v>0</v>
      </c>
      <c r="L619" s="660">
        <f>18911+'[1]táj.2'!L619</f>
        <v>18911</v>
      </c>
      <c r="M619" s="660">
        <f>0+'[1]táj.2'!M619</f>
        <v>0</v>
      </c>
      <c r="N619" s="660">
        <f>0+'[1]táj.2'!N619</f>
        <v>0</v>
      </c>
      <c r="O619" s="660">
        <f>0+'[1]táj.2'!O619</f>
        <v>0</v>
      </c>
      <c r="P619" s="660">
        <f>0+'[1]táj.2'!P619</f>
        <v>0</v>
      </c>
      <c r="Q619" s="11">
        <f>SUM(G619:P619)</f>
        <v>28647</v>
      </c>
    </row>
    <row r="620" spans="1:17" ht="16.5" customHeight="1">
      <c r="A620" s="70"/>
      <c r="B620" s="70"/>
      <c r="C620" s="324" t="s">
        <v>294</v>
      </c>
      <c r="D620" s="769" t="s">
        <v>937</v>
      </c>
      <c r="E620" s="767"/>
      <c r="F620" s="11"/>
      <c r="G620" s="660"/>
      <c r="H620" s="660"/>
      <c r="I620" s="660"/>
      <c r="J620" s="660"/>
      <c r="K620" s="660"/>
      <c r="L620" s="660"/>
      <c r="M620" s="660"/>
      <c r="N620" s="660"/>
      <c r="O620" s="660"/>
      <c r="P620" s="660"/>
      <c r="Q620" s="11"/>
    </row>
    <row r="621" spans="1:17" ht="29.25" customHeight="1">
      <c r="A621" s="70"/>
      <c r="B621" s="70"/>
      <c r="C621" s="324" t="s">
        <v>785</v>
      </c>
      <c r="D621" s="223" t="s">
        <v>786</v>
      </c>
      <c r="E621" s="735"/>
      <c r="F621" s="71">
        <v>162640</v>
      </c>
      <c r="G621" s="660">
        <f>0+'[1]táj.2'!G621</f>
        <v>0</v>
      </c>
      <c r="H621" s="660">
        <f>0+'[1]táj.2'!H621</f>
        <v>0</v>
      </c>
      <c r="I621" s="660">
        <f>0+'[1]táj.2'!I621</f>
        <v>0</v>
      </c>
      <c r="J621" s="660">
        <f>0+'[1]táj.2'!J621</f>
        <v>0</v>
      </c>
      <c r="K621" s="660">
        <f>0+'[1]táj.2'!K621</f>
        <v>0</v>
      </c>
      <c r="L621" s="660">
        <f>0+'[1]táj.2'!L621</f>
        <v>190500</v>
      </c>
      <c r="M621" s="660">
        <f>0+'[1]táj.2'!M621</f>
        <v>0</v>
      </c>
      <c r="N621" s="660">
        <f>0+'[1]táj.2'!N621</f>
        <v>0</v>
      </c>
      <c r="O621" s="660">
        <f>0+'[1]táj.2'!O621</f>
        <v>0</v>
      </c>
      <c r="P621" s="660">
        <f>0+'[1]táj.2'!P621</f>
        <v>0</v>
      </c>
      <c r="Q621" s="11">
        <f aca="true" t="shared" si="33" ref="Q621:Q628">SUM(G621:P621)</f>
        <v>190500</v>
      </c>
    </row>
    <row r="622" spans="1:17" ht="22.5" customHeight="1">
      <c r="A622" s="70"/>
      <c r="B622" s="70"/>
      <c r="C622" s="324" t="s">
        <v>787</v>
      </c>
      <c r="D622" s="223" t="s">
        <v>788</v>
      </c>
      <c r="E622" s="770"/>
      <c r="F622" s="71">
        <v>162695</v>
      </c>
      <c r="G622" s="660">
        <f>0+'[1]táj.2'!G622</f>
        <v>0</v>
      </c>
      <c r="H622" s="660">
        <f>0+'[1]táj.2'!H622</f>
        <v>0</v>
      </c>
      <c r="I622" s="660">
        <f>0+'[1]táj.2'!I622</f>
        <v>0</v>
      </c>
      <c r="J622" s="660">
        <f>0+'[1]táj.2'!J622</f>
        <v>0</v>
      </c>
      <c r="K622" s="660">
        <f>0+'[1]táj.2'!K622</f>
        <v>7200</v>
      </c>
      <c r="L622" s="660">
        <f>0+'[1]táj.2'!L622</f>
        <v>0</v>
      </c>
      <c r="M622" s="660">
        <f>0+'[1]táj.2'!M622</f>
        <v>0</v>
      </c>
      <c r="N622" s="660">
        <f>0+'[1]táj.2'!N622</f>
        <v>0</v>
      </c>
      <c r="O622" s="660">
        <f>0+'[1]táj.2'!O622</f>
        <v>0</v>
      </c>
      <c r="P622" s="660">
        <f>0+'[1]táj.2'!P622</f>
        <v>0</v>
      </c>
      <c r="Q622" s="11">
        <f t="shared" si="33"/>
        <v>7200</v>
      </c>
    </row>
    <row r="623" spans="1:17" ht="16.5" customHeight="1">
      <c r="A623" s="70"/>
      <c r="B623" s="70"/>
      <c r="C623" s="212" t="s">
        <v>295</v>
      </c>
      <c r="D623" s="271" t="s">
        <v>1030</v>
      </c>
      <c r="E623" s="250"/>
      <c r="F623" s="11">
        <v>164606</v>
      </c>
      <c r="G623" s="660">
        <f>0+'[1]táj.2'!G623</f>
        <v>0</v>
      </c>
      <c r="H623" s="660">
        <f>0+'[1]táj.2'!H623</f>
        <v>0</v>
      </c>
      <c r="I623" s="660">
        <f>0+'[1]táj.2'!I623</f>
        <v>0</v>
      </c>
      <c r="J623" s="660">
        <f>0+'[1]táj.2'!J623</f>
        <v>0</v>
      </c>
      <c r="K623" s="660">
        <f>0+'[1]táj.2'!K623</f>
        <v>0</v>
      </c>
      <c r="L623" s="660">
        <f>0+'[1]táj.2'!L623</f>
        <v>0</v>
      </c>
      <c r="M623" s="660">
        <f>258+'[1]táj.2'!M623</f>
        <v>258</v>
      </c>
      <c r="N623" s="660">
        <f>0+'[1]táj.2'!N623</f>
        <v>0</v>
      </c>
      <c r="O623" s="660">
        <f>0+'[1]táj.2'!O623</f>
        <v>0</v>
      </c>
      <c r="P623" s="660">
        <f>0+'[1]táj.2'!P623</f>
        <v>0</v>
      </c>
      <c r="Q623" s="11">
        <f t="shared" si="33"/>
        <v>258</v>
      </c>
    </row>
    <row r="624" spans="1:17" ht="24.75" customHeight="1">
      <c r="A624" s="70"/>
      <c r="B624" s="70"/>
      <c r="C624" s="212" t="s">
        <v>296</v>
      </c>
      <c r="D624" s="276" t="s">
        <v>1200</v>
      </c>
      <c r="E624" s="250"/>
      <c r="F624" s="11">
        <v>162633</v>
      </c>
      <c r="G624" s="660">
        <f>0+'[1]táj.2'!G624</f>
        <v>0</v>
      </c>
      <c r="H624" s="660">
        <f>0+'[1]táj.2'!H624</f>
        <v>0</v>
      </c>
      <c r="I624" s="660">
        <f>10000+'[1]táj.2'!I624</f>
        <v>10000</v>
      </c>
      <c r="J624" s="660">
        <f>0+'[1]táj.2'!J624</f>
        <v>0</v>
      </c>
      <c r="K624" s="660">
        <f>0+'[1]táj.2'!K624</f>
        <v>0</v>
      </c>
      <c r="L624" s="660">
        <f>27735+'[1]táj.2'!L624</f>
        <v>27735</v>
      </c>
      <c r="M624" s="660">
        <f>10000+'[1]táj.2'!M624</f>
        <v>9682</v>
      </c>
      <c r="N624" s="660">
        <f>0+'[1]táj.2'!N624</f>
        <v>0</v>
      </c>
      <c r="O624" s="660">
        <f>0+'[1]táj.2'!O624</f>
        <v>0</v>
      </c>
      <c r="P624" s="660">
        <f>0+'[1]táj.2'!P624</f>
        <v>0</v>
      </c>
      <c r="Q624" s="11">
        <f t="shared" si="33"/>
        <v>47417</v>
      </c>
    </row>
    <row r="625" spans="1:17" ht="24.75" customHeight="1">
      <c r="A625" s="70"/>
      <c r="B625" s="70"/>
      <c r="C625" s="212" t="s">
        <v>297</v>
      </c>
      <c r="D625" s="276" t="s">
        <v>1526</v>
      </c>
      <c r="E625" s="250"/>
      <c r="F625" s="11">
        <v>162638</v>
      </c>
      <c r="G625" s="660">
        <f>0+'[1]táj.2'!G625</f>
        <v>0</v>
      </c>
      <c r="H625" s="660">
        <f>0+'[1]táj.2'!H625</f>
        <v>0</v>
      </c>
      <c r="I625" s="660">
        <f>0+'[1]táj.2'!I625</f>
        <v>0</v>
      </c>
      <c r="J625" s="660">
        <f>0+'[1]táj.2'!J625</f>
        <v>0</v>
      </c>
      <c r="K625" s="660">
        <f>0+'[1]táj.2'!K625</f>
        <v>0</v>
      </c>
      <c r="L625" s="660">
        <f>48989+'[1]táj.2'!L625</f>
        <v>48989</v>
      </c>
      <c r="M625" s="660">
        <f>0+'[1]táj.2'!M625</f>
        <v>0</v>
      </c>
      <c r="N625" s="660">
        <f>0+'[1]táj.2'!N625</f>
        <v>0</v>
      </c>
      <c r="O625" s="660">
        <f>0+'[1]táj.2'!O625</f>
        <v>0</v>
      </c>
      <c r="P625" s="660">
        <f>0+'[1]táj.2'!P625</f>
        <v>0</v>
      </c>
      <c r="Q625" s="11">
        <f t="shared" si="33"/>
        <v>48989</v>
      </c>
    </row>
    <row r="626" spans="1:17" ht="16.5" customHeight="1">
      <c r="A626" s="70"/>
      <c r="B626" s="70"/>
      <c r="C626" s="212" t="s">
        <v>298</v>
      </c>
      <c r="D626" s="276" t="s">
        <v>407</v>
      </c>
      <c r="E626" s="250"/>
      <c r="F626" s="11">
        <v>162634</v>
      </c>
      <c r="G626" s="660">
        <f>0+'[1]táj.2'!G626</f>
        <v>0</v>
      </c>
      <c r="H626" s="660">
        <f>0+'[1]táj.2'!H626</f>
        <v>0</v>
      </c>
      <c r="I626" s="660">
        <f>953+'[1]táj.2'!I626</f>
        <v>953</v>
      </c>
      <c r="J626" s="660">
        <f>0+'[1]táj.2'!J626</f>
        <v>0</v>
      </c>
      <c r="K626" s="660">
        <f>0+'[1]táj.2'!K626</f>
        <v>0</v>
      </c>
      <c r="L626" s="660">
        <f>0+'[1]táj.2'!L626</f>
        <v>0</v>
      </c>
      <c r="M626" s="660">
        <f>0+'[1]táj.2'!M626</f>
        <v>0</v>
      </c>
      <c r="N626" s="660">
        <f>0+'[1]táj.2'!N626</f>
        <v>0</v>
      </c>
      <c r="O626" s="660">
        <f>0+'[1]táj.2'!O626</f>
        <v>0</v>
      </c>
      <c r="P626" s="660">
        <f>0+'[1]táj.2'!P626</f>
        <v>0</v>
      </c>
      <c r="Q626" s="11">
        <f t="shared" si="33"/>
        <v>953</v>
      </c>
    </row>
    <row r="627" spans="1:17" ht="40.5" customHeight="1">
      <c r="A627" s="70"/>
      <c r="B627" s="70"/>
      <c r="C627" s="212" t="s">
        <v>299</v>
      </c>
      <c r="D627" s="95" t="s">
        <v>936</v>
      </c>
      <c r="E627" s="322" t="s">
        <v>143</v>
      </c>
      <c r="F627" s="11">
        <v>163631</v>
      </c>
      <c r="G627" s="660">
        <f>0+'[1]táj.2'!G627</f>
        <v>0</v>
      </c>
      <c r="H627" s="660">
        <f>0+'[1]táj.2'!H627</f>
        <v>0</v>
      </c>
      <c r="I627" s="660">
        <f>15000+'[1]táj.2'!I627</f>
        <v>8000</v>
      </c>
      <c r="J627" s="660">
        <f>0+'[1]táj.2'!J627</f>
        <v>0</v>
      </c>
      <c r="K627" s="660">
        <f>0+'[1]táj.2'!K627</f>
        <v>0</v>
      </c>
      <c r="L627" s="660">
        <f>51795+'[1]táj.2'!L627</f>
        <v>22343</v>
      </c>
      <c r="M627" s="660">
        <f>0+'[1]táj.2'!M627</f>
        <v>0</v>
      </c>
      <c r="N627" s="660">
        <f>0+'[1]táj.2'!N627</f>
        <v>0</v>
      </c>
      <c r="O627" s="660">
        <f>0+'[1]táj.2'!O627</f>
        <v>0</v>
      </c>
      <c r="P627" s="660">
        <f>0+'[1]táj.2'!P627</f>
        <v>0</v>
      </c>
      <c r="Q627" s="11">
        <f t="shared" si="33"/>
        <v>30343</v>
      </c>
    </row>
    <row r="628" spans="1:17" ht="39" customHeight="1">
      <c r="A628" s="70"/>
      <c r="B628" s="70"/>
      <c r="C628" s="212" t="s">
        <v>300</v>
      </c>
      <c r="D628" s="95" t="s">
        <v>491</v>
      </c>
      <c r="E628" s="382"/>
      <c r="F628" s="11">
        <v>163605</v>
      </c>
      <c r="G628" s="660">
        <f>0+'[1]táj.2'!G628</f>
        <v>0</v>
      </c>
      <c r="H628" s="660">
        <f>0+'[1]táj.2'!H628</f>
        <v>0</v>
      </c>
      <c r="I628" s="660">
        <f>0+'[1]táj.2'!I628</f>
        <v>0</v>
      </c>
      <c r="J628" s="660">
        <f>0+'[1]táj.2'!J628</f>
        <v>0</v>
      </c>
      <c r="K628" s="660">
        <f>0+'[1]táj.2'!K628</f>
        <v>0</v>
      </c>
      <c r="L628" s="660">
        <f>9779+'[1]táj.2'!L628</f>
        <v>9779</v>
      </c>
      <c r="M628" s="660">
        <f>0+'[1]táj.2'!M628</f>
        <v>0</v>
      </c>
      <c r="N628" s="660">
        <f>0+'[1]táj.2'!N628</f>
        <v>0</v>
      </c>
      <c r="O628" s="660">
        <f>0+'[1]táj.2'!O628</f>
        <v>0</v>
      </c>
      <c r="P628" s="660">
        <f>0+'[1]táj.2'!P628</f>
        <v>0</v>
      </c>
      <c r="Q628" s="11">
        <f t="shared" si="33"/>
        <v>9779</v>
      </c>
    </row>
    <row r="629" spans="1:17" ht="13.5" customHeight="1">
      <c r="A629" s="134"/>
      <c r="B629" s="134"/>
      <c r="C629" s="135"/>
      <c r="D629" s="272" t="s">
        <v>1069</v>
      </c>
      <c r="E629" s="383"/>
      <c r="F629" s="413"/>
      <c r="G629" s="714">
        <f aca="true" t="shared" si="34" ref="G629:Q629">SUM(G481:G628)</f>
        <v>68248</v>
      </c>
      <c r="H629" s="8">
        <f t="shared" si="34"/>
        <v>15392</v>
      </c>
      <c r="I629" s="8">
        <f t="shared" si="34"/>
        <v>4058997</v>
      </c>
      <c r="J629" s="8">
        <f t="shared" si="34"/>
        <v>0</v>
      </c>
      <c r="K629" s="8">
        <f t="shared" si="34"/>
        <v>17412</v>
      </c>
      <c r="L629" s="8">
        <f t="shared" si="34"/>
        <v>20462932</v>
      </c>
      <c r="M629" s="8">
        <f t="shared" si="34"/>
        <v>3963414</v>
      </c>
      <c r="N629" s="8">
        <f t="shared" si="34"/>
        <v>108097</v>
      </c>
      <c r="O629" s="8">
        <f t="shared" si="34"/>
        <v>0</v>
      </c>
      <c r="P629" s="8">
        <f t="shared" si="34"/>
        <v>0</v>
      </c>
      <c r="Q629" s="8">
        <f t="shared" si="34"/>
        <v>28694492</v>
      </c>
    </row>
    <row r="630" spans="1:17" ht="15" customHeight="1">
      <c r="A630" s="70">
        <v>1</v>
      </c>
      <c r="B630" s="70">
        <v>17</v>
      </c>
      <c r="C630" s="127"/>
      <c r="D630" s="136" t="s">
        <v>1021</v>
      </c>
      <c r="E630" s="384"/>
      <c r="F630" s="11"/>
      <c r="G630" s="71"/>
      <c r="H630" s="6"/>
      <c r="I630" s="6"/>
      <c r="J630" s="6"/>
      <c r="K630" s="6"/>
      <c r="L630" s="6"/>
      <c r="M630" s="11"/>
      <c r="N630" s="11"/>
      <c r="O630" s="11"/>
      <c r="P630" s="11"/>
      <c r="Q630" s="11"/>
    </row>
    <row r="631" spans="1:17" ht="15" customHeight="1">
      <c r="A631" s="70"/>
      <c r="B631" s="70"/>
      <c r="C631" s="127"/>
      <c r="D631" s="101" t="s">
        <v>816</v>
      </c>
      <c r="E631" s="387"/>
      <c r="F631" s="142"/>
      <c r="G631" s="71"/>
      <c r="H631" s="6"/>
      <c r="I631" s="6"/>
      <c r="J631" s="6"/>
      <c r="K631" s="6"/>
      <c r="L631" s="6"/>
      <c r="M631" s="11"/>
      <c r="N631" s="11"/>
      <c r="O631" s="11"/>
      <c r="P631" s="11"/>
      <c r="Q631" s="11"/>
    </row>
    <row r="632" spans="1:17" ht="15" customHeight="1">
      <c r="A632" s="70"/>
      <c r="B632" s="70"/>
      <c r="C632" s="127"/>
      <c r="D632" s="133" t="s">
        <v>228</v>
      </c>
      <c r="E632" s="10">
        <v>1</v>
      </c>
      <c r="F632" s="11">
        <v>171905</v>
      </c>
      <c r="G632" s="71">
        <f>0+'[1]táj.2'!G632</f>
        <v>0</v>
      </c>
      <c r="H632" s="71">
        <f>0+'[1]táj.2'!H632</f>
        <v>0</v>
      </c>
      <c r="I632" s="71">
        <f>7617+'[1]táj.2'!I632</f>
        <v>7617</v>
      </c>
      <c r="J632" s="71">
        <f>0+'[1]táj.2'!J632</f>
        <v>0</v>
      </c>
      <c r="K632" s="71">
        <f>0+'[1]táj.2'!K632</f>
        <v>0</v>
      </c>
      <c r="L632" s="71">
        <f>0+'[1]táj.2'!L632</f>
        <v>0</v>
      </c>
      <c r="M632" s="71">
        <f>0+'[1]táj.2'!M632</f>
        <v>1806</v>
      </c>
      <c r="N632" s="71">
        <f>0+'[1]táj.2'!N632</f>
        <v>0</v>
      </c>
      <c r="O632" s="71">
        <f>0+'[1]táj.2'!O632</f>
        <v>0</v>
      </c>
      <c r="P632" s="71">
        <f>0+'[1]táj.2'!P632</f>
        <v>0</v>
      </c>
      <c r="Q632" s="11">
        <f aca="true" t="shared" si="35" ref="Q632:Q639">SUM(G632:P632)</f>
        <v>9423</v>
      </c>
    </row>
    <row r="633" spans="1:17" ht="15" customHeight="1">
      <c r="A633" s="70"/>
      <c r="B633" s="70"/>
      <c r="C633" s="127"/>
      <c r="D633" s="133" t="s">
        <v>1022</v>
      </c>
      <c r="E633" s="10">
        <v>1</v>
      </c>
      <c r="F633" s="11">
        <v>171903</v>
      </c>
      <c r="G633" s="71">
        <f>0+'[1]táj.2'!G633</f>
        <v>0</v>
      </c>
      <c r="H633" s="71">
        <f>0+'[1]táj.2'!H633</f>
        <v>0</v>
      </c>
      <c r="I633" s="71">
        <f>2000+'[1]táj.2'!I633</f>
        <v>2000</v>
      </c>
      <c r="J633" s="71">
        <f>0+'[1]táj.2'!J633</f>
        <v>0</v>
      </c>
      <c r="K633" s="71">
        <f>0+'[1]táj.2'!K633</f>
        <v>0</v>
      </c>
      <c r="L633" s="71">
        <f>0+'[1]táj.2'!L633</f>
        <v>0</v>
      </c>
      <c r="M633" s="71">
        <f>0+'[1]táj.2'!M633</f>
        <v>0</v>
      </c>
      <c r="N633" s="71">
        <f>0+'[1]táj.2'!N633</f>
        <v>0</v>
      </c>
      <c r="O633" s="71">
        <f>0+'[1]táj.2'!O633</f>
        <v>0</v>
      </c>
      <c r="P633" s="71">
        <f>0+'[1]táj.2'!P633</f>
        <v>0</v>
      </c>
      <c r="Q633" s="11">
        <f t="shared" si="35"/>
        <v>2000</v>
      </c>
    </row>
    <row r="634" spans="1:17" ht="15" customHeight="1">
      <c r="A634" s="70"/>
      <c r="B634" s="70"/>
      <c r="C634" s="127"/>
      <c r="D634" s="133" t="s">
        <v>877</v>
      </c>
      <c r="E634" s="389">
        <v>1</v>
      </c>
      <c r="F634" s="11">
        <v>171920</v>
      </c>
      <c r="G634" s="71">
        <f>0+'[1]táj.2'!G634</f>
        <v>0</v>
      </c>
      <c r="H634" s="71">
        <f>0+'[1]táj.2'!H634</f>
        <v>0</v>
      </c>
      <c r="I634" s="71">
        <f>6400+'[1]táj.2'!I634</f>
        <v>6400</v>
      </c>
      <c r="J634" s="71">
        <f>0+'[1]táj.2'!J634</f>
        <v>0</v>
      </c>
      <c r="K634" s="71">
        <f>0+'[1]táj.2'!K634</f>
        <v>0</v>
      </c>
      <c r="L634" s="71">
        <f>0+'[1]táj.2'!L634</f>
        <v>0</v>
      </c>
      <c r="M634" s="71">
        <f>0+'[1]táj.2'!M634</f>
        <v>0</v>
      </c>
      <c r="N634" s="71">
        <f>0+'[1]táj.2'!N634</f>
        <v>0</v>
      </c>
      <c r="O634" s="71">
        <f>0+'[1]táj.2'!O634</f>
        <v>0</v>
      </c>
      <c r="P634" s="71">
        <f>0+'[1]táj.2'!P634</f>
        <v>0</v>
      </c>
      <c r="Q634" s="11">
        <f t="shared" si="35"/>
        <v>6400</v>
      </c>
    </row>
    <row r="635" spans="1:17" ht="15" customHeight="1">
      <c r="A635" s="70"/>
      <c r="B635" s="70"/>
      <c r="C635" s="127"/>
      <c r="D635" s="95" t="s">
        <v>712</v>
      </c>
      <c r="E635" s="393">
        <v>1</v>
      </c>
      <c r="F635" s="11">
        <v>171956</v>
      </c>
      <c r="G635" s="71">
        <f>0+'[1]táj.2'!G635</f>
        <v>0</v>
      </c>
      <c r="H635" s="71">
        <f>0+'[1]táj.2'!H635</f>
        <v>0</v>
      </c>
      <c r="I635" s="71">
        <f>3718+'[1]táj.2'!I635</f>
        <v>3718</v>
      </c>
      <c r="J635" s="71">
        <f>0+'[1]táj.2'!J635</f>
        <v>0</v>
      </c>
      <c r="K635" s="71">
        <f>0+'[1]táj.2'!K635</f>
        <v>0</v>
      </c>
      <c r="L635" s="71">
        <f>0+'[1]táj.2'!L635</f>
        <v>0</v>
      </c>
      <c r="M635" s="71">
        <f>0+'[1]táj.2'!M635</f>
        <v>0</v>
      </c>
      <c r="N635" s="71">
        <f>0+'[1]táj.2'!N635</f>
        <v>0</v>
      </c>
      <c r="O635" s="71">
        <f>0+'[1]táj.2'!O635</f>
        <v>0</v>
      </c>
      <c r="P635" s="71">
        <f>0+'[1]táj.2'!P635</f>
        <v>0</v>
      </c>
      <c r="Q635" s="11">
        <f t="shared" si="35"/>
        <v>3718</v>
      </c>
    </row>
    <row r="636" spans="1:17" ht="15" customHeight="1">
      <c r="A636" s="70"/>
      <c r="B636" s="70"/>
      <c r="C636" s="127"/>
      <c r="D636" s="95" t="s">
        <v>713</v>
      </c>
      <c r="E636" s="393">
        <v>1</v>
      </c>
      <c r="F636" s="11">
        <v>171958</v>
      </c>
      <c r="G636" s="71">
        <f>0+'[1]táj.2'!G636</f>
        <v>0</v>
      </c>
      <c r="H636" s="71">
        <f>0+'[1]táj.2'!H636</f>
        <v>0</v>
      </c>
      <c r="I636" s="71">
        <f>1000+'[1]táj.2'!I636</f>
        <v>1000</v>
      </c>
      <c r="J636" s="71">
        <f>0+'[1]táj.2'!J636</f>
        <v>0</v>
      </c>
      <c r="K636" s="71">
        <f>0+'[1]táj.2'!K636</f>
        <v>0</v>
      </c>
      <c r="L636" s="71">
        <f>0+'[1]táj.2'!L636</f>
        <v>0</v>
      </c>
      <c r="M636" s="71">
        <f>0+'[1]táj.2'!M636</f>
        <v>0</v>
      </c>
      <c r="N636" s="71">
        <f>0+'[1]táj.2'!N636</f>
        <v>0</v>
      </c>
      <c r="O636" s="71">
        <f>0+'[1]táj.2'!O636</f>
        <v>0</v>
      </c>
      <c r="P636" s="71">
        <f>0+'[1]táj.2'!P636</f>
        <v>0</v>
      </c>
      <c r="Q636" s="11">
        <f t="shared" si="35"/>
        <v>1000</v>
      </c>
    </row>
    <row r="637" spans="1:17" ht="15" customHeight="1">
      <c r="A637" s="70"/>
      <c r="B637" s="70"/>
      <c r="C637" s="127"/>
      <c r="D637" s="95" t="s">
        <v>717</v>
      </c>
      <c r="E637" s="393">
        <v>1</v>
      </c>
      <c r="F637" s="11">
        <v>171904</v>
      </c>
      <c r="G637" s="71">
        <f>0+'[1]táj.2'!G637</f>
        <v>0</v>
      </c>
      <c r="H637" s="71">
        <f>0+'[1]táj.2'!H637</f>
        <v>0</v>
      </c>
      <c r="I637" s="71">
        <f>2000+'[1]táj.2'!I637</f>
        <v>2000</v>
      </c>
      <c r="J637" s="71">
        <f>0+'[1]táj.2'!J637</f>
        <v>0</v>
      </c>
      <c r="K637" s="71">
        <f>0+'[1]táj.2'!K637</f>
        <v>0</v>
      </c>
      <c r="L637" s="71">
        <f>0+'[1]táj.2'!L637</f>
        <v>0</v>
      </c>
      <c r="M637" s="71">
        <f>0+'[1]táj.2'!M637</f>
        <v>0</v>
      </c>
      <c r="N637" s="71">
        <f>0+'[1]táj.2'!N637</f>
        <v>0</v>
      </c>
      <c r="O637" s="71">
        <f>0+'[1]táj.2'!O637</f>
        <v>0</v>
      </c>
      <c r="P637" s="71">
        <f>0+'[1]táj.2'!P637</f>
        <v>0</v>
      </c>
      <c r="Q637" s="11">
        <f t="shared" si="35"/>
        <v>2000</v>
      </c>
    </row>
    <row r="638" spans="1:17" ht="15" customHeight="1">
      <c r="A638" s="70"/>
      <c r="B638" s="70"/>
      <c r="C638" s="127"/>
      <c r="D638" s="133" t="s">
        <v>583</v>
      </c>
      <c r="E638" s="10">
        <v>1</v>
      </c>
      <c r="F638" s="11">
        <v>171902</v>
      </c>
      <c r="G638" s="71">
        <f>0+'[1]táj.2'!G638</f>
        <v>0</v>
      </c>
      <c r="H638" s="71">
        <f>0+'[1]táj.2'!H638</f>
        <v>0</v>
      </c>
      <c r="I638" s="71">
        <f>11138+'[1]táj.2'!I638</f>
        <v>11138</v>
      </c>
      <c r="J638" s="71">
        <f>0+'[1]táj.2'!J638</f>
        <v>0</v>
      </c>
      <c r="K638" s="71">
        <f>0+'[1]táj.2'!K638</f>
        <v>0</v>
      </c>
      <c r="L638" s="71">
        <f>0+'[1]táj.2'!L638</f>
        <v>0</v>
      </c>
      <c r="M638" s="71">
        <f>0+'[1]táj.2'!M638</f>
        <v>0</v>
      </c>
      <c r="N638" s="71">
        <f>0+'[1]táj.2'!N638</f>
        <v>0</v>
      </c>
      <c r="O638" s="71">
        <f>0+'[1]táj.2'!O638</f>
        <v>0</v>
      </c>
      <c r="P638" s="71">
        <f>0+'[1]táj.2'!P638</f>
        <v>0</v>
      </c>
      <c r="Q638" s="11">
        <f t="shared" si="35"/>
        <v>11138</v>
      </c>
    </row>
    <row r="639" spans="1:17" ht="15" customHeight="1">
      <c r="A639" s="70"/>
      <c r="B639" s="70"/>
      <c r="C639" s="127"/>
      <c r="D639" s="133" t="s">
        <v>711</v>
      </c>
      <c r="E639" s="10">
        <v>1</v>
      </c>
      <c r="F639" s="11">
        <v>171925</v>
      </c>
      <c r="G639" s="71">
        <f>0+'[1]táj.2'!G639</f>
        <v>0</v>
      </c>
      <c r="H639" s="71">
        <f>0+'[1]táj.2'!H639</f>
        <v>0</v>
      </c>
      <c r="I639" s="71">
        <f>500+'[1]táj.2'!I639</f>
        <v>500</v>
      </c>
      <c r="J639" s="71">
        <f>0+'[1]táj.2'!J639</f>
        <v>0</v>
      </c>
      <c r="K639" s="71">
        <f>0+'[1]táj.2'!K639</f>
        <v>0</v>
      </c>
      <c r="L639" s="71">
        <f>0+'[1]táj.2'!L639</f>
        <v>0</v>
      </c>
      <c r="M639" s="71">
        <f>0+'[1]táj.2'!M639</f>
        <v>0</v>
      </c>
      <c r="N639" s="71">
        <f>0+'[1]táj.2'!N639</f>
        <v>0</v>
      </c>
      <c r="O639" s="71">
        <f>0+'[1]táj.2'!O639</f>
        <v>0</v>
      </c>
      <c r="P639" s="71">
        <f>0+'[1]táj.2'!P639</f>
        <v>0</v>
      </c>
      <c r="Q639" s="11">
        <f t="shared" si="35"/>
        <v>500</v>
      </c>
    </row>
    <row r="640" spans="1:17" ht="15" customHeight="1">
      <c r="A640" s="70"/>
      <c r="B640" s="70"/>
      <c r="C640" s="70"/>
      <c r="D640" s="178" t="s">
        <v>1037</v>
      </c>
      <c r="E640" s="384"/>
      <c r="F640" s="1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11"/>
    </row>
    <row r="641" spans="1:17" ht="15" customHeight="1">
      <c r="A641" s="70"/>
      <c r="B641" s="70"/>
      <c r="C641" s="70"/>
      <c r="D641" s="178" t="s">
        <v>1038</v>
      </c>
      <c r="E641" s="384">
        <v>1</v>
      </c>
      <c r="F641" s="11">
        <v>171954</v>
      </c>
      <c r="G641" s="71">
        <f>0+'[1]táj.2'!G641</f>
        <v>0</v>
      </c>
      <c r="H641" s="71">
        <f>0+'[1]táj.2'!H641</f>
        <v>0</v>
      </c>
      <c r="I641" s="71">
        <f>688+'[1]táj.2'!I641</f>
        <v>688</v>
      </c>
      <c r="J641" s="71">
        <f>0+'[1]táj.2'!J641</f>
        <v>0</v>
      </c>
      <c r="K641" s="71">
        <f>0+'[1]táj.2'!K641</f>
        <v>0</v>
      </c>
      <c r="L641" s="71">
        <f>0+'[1]táj.2'!L641</f>
        <v>0</v>
      </c>
      <c r="M641" s="71">
        <f>0+'[1]táj.2'!M641</f>
        <v>0</v>
      </c>
      <c r="N641" s="71">
        <f>0+'[1]táj.2'!N641</f>
        <v>0</v>
      </c>
      <c r="O641" s="71">
        <f>0+'[1]táj.2'!O641</f>
        <v>0</v>
      </c>
      <c r="P641" s="71">
        <f>0+'[1]táj.2'!P641</f>
        <v>0</v>
      </c>
      <c r="Q641" s="11">
        <f>SUM(G641:P641)</f>
        <v>688</v>
      </c>
    </row>
    <row r="642" spans="1:17" ht="15" customHeight="1">
      <c r="A642" s="65"/>
      <c r="B642" s="65"/>
      <c r="C642" s="126"/>
      <c r="D642" s="104" t="s">
        <v>1168</v>
      </c>
      <c r="E642" s="385"/>
      <c r="F642" s="69"/>
      <c r="G642" s="67">
        <f aca="true" t="shared" si="36" ref="G642:Q642">SUM(G631:G641)</f>
        <v>0</v>
      </c>
      <c r="H642" s="69">
        <f t="shared" si="36"/>
        <v>0</v>
      </c>
      <c r="I642" s="69">
        <f t="shared" si="36"/>
        <v>35061</v>
      </c>
      <c r="J642" s="69">
        <f t="shared" si="36"/>
        <v>0</v>
      </c>
      <c r="K642" s="69">
        <f t="shared" si="36"/>
        <v>0</v>
      </c>
      <c r="L642" s="69">
        <f t="shared" si="36"/>
        <v>0</v>
      </c>
      <c r="M642" s="69">
        <f t="shared" si="36"/>
        <v>1806</v>
      </c>
      <c r="N642" s="69">
        <f t="shared" si="36"/>
        <v>0</v>
      </c>
      <c r="O642" s="69">
        <f t="shared" si="36"/>
        <v>0</v>
      </c>
      <c r="P642" s="69">
        <f t="shared" si="36"/>
        <v>0</v>
      </c>
      <c r="Q642" s="69">
        <f t="shared" si="36"/>
        <v>36867</v>
      </c>
    </row>
    <row r="643" spans="1:17" ht="13.5" customHeight="1">
      <c r="A643" s="74"/>
      <c r="B643" s="74"/>
      <c r="C643" s="128"/>
      <c r="D643" s="278" t="s">
        <v>1223</v>
      </c>
      <c r="E643" s="386"/>
      <c r="F643" s="12"/>
      <c r="G643" s="13"/>
      <c r="H643" s="12"/>
      <c r="I643" s="12"/>
      <c r="J643" s="12"/>
      <c r="K643" s="12"/>
      <c r="L643" s="12"/>
      <c r="M643" s="12"/>
      <c r="N643" s="12"/>
      <c r="O643" s="12"/>
      <c r="P643" s="12"/>
      <c r="Q643" s="12"/>
    </row>
    <row r="644" spans="1:17" ht="27.75" customHeight="1">
      <c r="A644" s="74"/>
      <c r="B644" s="74"/>
      <c r="C644" s="127" t="s">
        <v>577</v>
      </c>
      <c r="D644" s="771" t="s">
        <v>1224</v>
      </c>
      <c r="E644" s="772"/>
      <c r="F644" s="773">
        <v>171980</v>
      </c>
      <c r="G644" s="71">
        <f>0+'[1]táj.2'!G644</f>
        <v>0</v>
      </c>
      <c r="H644" s="71">
        <f>0+'[1]táj.2'!H644</f>
        <v>0</v>
      </c>
      <c r="I644" s="71">
        <f>0+'[1]táj.2'!I644</f>
        <v>0</v>
      </c>
      <c r="J644" s="71">
        <f>0+'[1]táj.2'!J644</f>
        <v>0</v>
      </c>
      <c r="K644" s="71">
        <f>0+'[1]táj.2'!K644</f>
        <v>0</v>
      </c>
      <c r="L644" s="71">
        <f>0+'[1]táj.2'!L644</f>
        <v>0</v>
      </c>
      <c r="M644" s="71">
        <f>0+'[1]táj.2'!M644</f>
        <v>0</v>
      </c>
      <c r="N644" s="71">
        <f>28500+'[1]táj.2'!N644</f>
        <v>28500</v>
      </c>
      <c r="O644" s="71">
        <f>0+'[1]táj.2'!O644</f>
        <v>0</v>
      </c>
      <c r="P644" s="71">
        <f>0+'[1]táj.2'!P644</f>
        <v>0</v>
      </c>
      <c r="Q644" s="11">
        <f>SUM(G644:P644)</f>
        <v>28500</v>
      </c>
    </row>
    <row r="645" spans="1:17" ht="18" customHeight="1">
      <c r="A645" s="74"/>
      <c r="B645" s="74"/>
      <c r="C645" s="127" t="s">
        <v>576</v>
      </c>
      <c r="D645" s="114" t="s">
        <v>1139</v>
      </c>
      <c r="E645" s="774"/>
      <c r="F645" s="11">
        <v>172958</v>
      </c>
      <c r="G645" s="71">
        <f>0+'[1]táj.2'!G645</f>
        <v>0</v>
      </c>
      <c r="H645" s="71">
        <f>0+'[1]táj.2'!H645</f>
        <v>0</v>
      </c>
      <c r="I645" s="71">
        <f>39759+'[1]táj.2'!I645</f>
        <v>39759</v>
      </c>
      <c r="J645" s="71">
        <f>0+'[1]táj.2'!J645</f>
        <v>0</v>
      </c>
      <c r="K645" s="71">
        <f>0+'[1]táj.2'!K645</f>
        <v>0</v>
      </c>
      <c r="L645" s="71">
        <f>0+'[1]táj.2'!L645</f>
        <v>0</v>
      </c>
      <c r="M645" s="71">
        <f>0+'[1]táj.2'!M645</f>
        <v>0</v>
      </c>
      <c r="N645" s="71">
        <f>0+'[1]táj.2'!N645</f>
        <v>0</v>
      </c>
      <c r="O645" s="71">
        <f>0+'[1]táj.2'!O645</f>
        <v>0</v>
      </c>
      <c r="P645" s="71">
        <f>0+'[1]táj.2'!P645</f>
        <v>0</v>
      </c>
      <c r="Q645" s="14">
        <f>SUM(G645:P645)</f>
        <v>39759</v>
      </c>
    </row>
    <row r="646" spans="1:17" ht="25.5" customHeight="1">
      <c r="A646" s="74"/>
      <c r="B646" s="74"/>
      <c r="C646" s="127" t="s">
        <v>578</v>
      </c>
      <c r="D646" s="114" t="s">
        <v>1096</v>
      </c>
      <c r="E646" s="774"/>
      <c r="F646" s="11">
        <v>172959</v>
      </c>
      <c r="G646" s="71">
        <f>0+'[1]táj.2'!G646</f>
        <v>0</v>
      </c>
      <c r="H646" s="71">
        <f>0+'[1]táj.2'!H646</f>
        <v>0</v>
      </c>
      <c r="I646" s="71">
        <f>0+'[1]táj.2'!I646</f>
        <v>0</v>
      </c>
      <c r="J646" s="71">
        <f>0+'[1]táj.2'!J646</f>
        <v>0</v>
      </c>
      <c r="K646" s="71">
        <f>0+'[1]táj.2'!K646</f>
        <v>0</v>
      </c>
      <c r="L646" s="71">
        <f>0+'[1]táj.2'!L646</f>
        <v>0</v>
      </c>
      <c r="M646" s="71">
        <f>0+'[1]táj.2'!M646</f>
        <v>0</v>
      </c>
      <c r="N646" s="71">
        <f>4750+'[1]táj.2'!N646</f>
        <v>0</v>
      </c>
      <c r="O646" s="71">
        <f>0+'[1]táj.2'!O646</f>
        <v>0</v>
      </c>
      <c r="P646" s="71">
        <f>0+'[1]táj.2'!P646</f>
        <v>0</v>
      </c>
      <c r="Q646" s="14">
        <f>SUM(G646:P646)</f>
        <v>0</v>
      </c>
    </row>
    <row r="647" spans="1:17" ht="26.25" customHeight="1">
      <c r="A647" s="74"/>
      <c r="B647" s="74"/>
      <c r="C647" s="127" t="s">
        <v>579</v>
      </c>
      <c r="D647" s="114" t="s">
        <v>40</v>
      </c>
      <c r="E647" s="774"/>
      <c r="F647" s="11">
        <v>172960</v>
      </c>
      <c r="G647" s="71">
        <f>0+'[1]táj.2'!G647</f>
        <v>0</v>
      </c>
      <c r="H647" s="71">
        <f>0+'[1]táj.2'!H647</f>
        <v>0</v>
      </c>
      <c r="I647" s="71">
        <f>0+'[1]táj.2'!I647</f>
        <v>0</v>
      </c>
      <c r="J647" s="71">
        <f>0+'[1]táj.2'!J647</f>
        <v>0</v>
      </c>
      <c r="K647" s="71">
        <f>0+'[1]táj.2'!K647</f>
        <v>0</v>
      </c>
      <c r="L647" s="71">
        <f>0+'[1]táj.2'!L647</f>
        <v>0</v>
      </c>
      <c r="M647" s="71">
        <f>0+'[1]táj.2'!M647</f>
        <v>0</v>
      </c>
      <c r="N647" s="71">
        <f>5965+'[1]táj.2'!N647</f>
        <v>0</v>
      </c>
      <c r="O647" s="71">
        <f>0+'[1]táj.2'!O647</f>
        <v>0</v>
      </c>
      <c r="P647" s="71">
        <f>0+'[1]táj.2'!P647</f>
        <v>0</v>
      </c>
      <c r="Q647" s="14">
        <f>SUM(G647:P647)</f>
        <v>0</v>
      </c>
    </row>
    <row r="648" spans="1:17" ht="15.75" customHeight="1">
      <c r="A648" s="74"/>
      <c r="B648" s="74"/>
      <c r="C648" s="127"/>
      <c r="D648" s="133" t="s">
        <v>686</v>
      </c>
      <c r="E648" s="772"/>
      <c r="F648" s="773">
        <v>172952</v>
      </c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11"/>
    </row>
    <row r="649" spans="1:17" ht="24.75" customHeight="1">
      <c r="A649" s="74"/>
      <c r="B649" s="74"/>
      <c r="C649" s="127" t="s">
        <v>388</v>
      </c>
      <c r="D649" s="775" t="s">
        <v>116</v>
      </c>
      <c r="E649" s="776"/>
      <c r="F649" s="773">
        <v>171970</v>
      </c>
      <c r="G649" s="71">
        <f>0+'[1]táj.2'!G649</f>
        <v>0</v>
      </c>
      <c r="H649" s="71">
        <f>0+'[1]táj.2'!H649</f>
        <v>0</v>
      </c>
      <c r="I649" s="71">
        <f>0+'[1]táj.2'!I649</f>
        <v>0</v>
      </c>
      <c r="J649" s="71">
        <f>0+'[1]táj.2'!J649</f>
        <v>0</v>
      </c>
      <c r="K649" s="71">
        <f>0+'[1]táj.2'!K649</f>
        <v>0</v>
      </c>
      <c r="L649" s="71">
        <f>30328+'[1]táj.2'!L649</f>
        <v>30328</v>
      </c>
      <c r="M649" s="71">
        <f>0+'[1]táj.2'!M649</f>
        <v>0</v>
      </c>
      <c r="N649" s="71">
        <f>0+'[1]táj.2'!N649</f>
        <v>0</v>
      </c>
      <c r="O649" s="71">
        <f>0+'[1]táj.2'!O649</f>
        <v>0</v>
      </c>
      <c r="P649" s="71">
        <f>0+'[1]táj.2'!P649</f>
        <v>0</v>
      </c>
      <c r="Q649" s="11">
        <f>SUM(G649:P649)</f>
        <v>30328</v>
      </c>
    </row>
    <row r="650" spans="1:17" ht="24" customHeight="1">
      <c r="A650" s="74"/>
      <c r="B650" s="74"/>
      <c r="C650" s="70" t="s">
        <v>389</v>
      </c>
      <c r="D650" s="95" t="s">
        <v>983</v>
      </c>
      <c r="E650" s="384"/>
      <c r="F650" s="11">
        <v>172956</v>
      </c>
      <c r="G650" s="71">
        <f>0+'[1]táj.2'!G650</f>
        <v>0</v>
      </c>
      <c r="H650" s="71">
        <f>0+'[1]táj.2'!H650</f>
        <v>0</v>
      </c>
      <c r="I650" s="71">
        <f>0+'[1]táj.2'!I650</f>
        <v>0</v>
      </c>
      <c r="J650" s="71">
        <f>0+'[1]táj.2'!J650</f>
        <v>0</v>
      </c>
      <c r="K650" s="71">
        <f>0+'[1]táj.2'!K650</f>
        <v>0</v>
      </c>
      <c r="L650" s="71">
        <f>10300+'[1]táj.2'!L650</f>
        <v>10300</v>
      </c>
      <c r="M650" s="71">
        <f>0+'[1]táj.2'!M650</f>
        <v>0</v>
      </c>
      <c r="N650" s="71">
        <f>0+'[1]táj.2'!N650</f>
        <v>0</v>
      </c>
      <c r="O650" s="71">
        <f>0+'[1]táj.2'!O650</f>
        <v>0</v>
      </c>
      <c r="P650" s="71">
        <f>0+'[1]táj.2'!P650</f>
        <v>0</v>
      </c>
      <c r="Q650" s="11">
        <f>SUM(G650:P650)</f>
        <v>10300</v>
      </c>
    </row>
    <row r="651" spans="1:17" ht="15.75" customHeight="1">
      <c r="A651" s="74"/>
      <c r="B651" s="74"/>
      <c r="C651" s="127" t="s">
        <v>395</v>
      </c>
      <c r="D651" s="777" t="s">
        <v>699</v>
      </c>
      <c r="E651" s="778"/>
      <c r="F651" s="11">
        <v>172910</v>
      </c>
      <c r="G651" s="71">
        <f>0+'[1]táj.2'!G651</f>
        <v>0</v>
      </c>
      <c r="H651" s="71">
        <f>0+'[1]táj.2'!H651</f>
        <v>0</v>
      </c>
      <c r="I651" s="71">
        <f>0+'[1]táj.2'!I651</f>
        <v>0</v>
      </c>
      <c r="J651" s="71">
        <f>0+'[1]táj.2'!J651</f>
        <v>0</v>
      </c>
      <c r="K651" s="71">
        <f>0+'[1]táj.2'!K651</f>
        <v>0</v>
      </c>
      <c r="L651" s="71">
        <f>51137+'[1]táj.2'!L651</f>
        <v>51137</v>
      </c>
      <c r="M651" s="71">
        <f>0+'[1]táj.2'!M651</f>
        <v>0</v>
      </c>
      <c r="N651" s="71">
        <f>0+'[1]táj.2'!N651</f>
        <v>0</v>
      </c>
      <c r="O651" s="71">
        <f>0+'[1]táj.2'!O651</f>
        <v>0</v>
      </c>
      <c r="P651" s="71">
        <f>0+'[1]táj.2'!P651</f>
        <v>0</v>
      </c>
      <c r="Q651" s="11">
        <f>SUM(G651:P651)</f>
        <v>51137</v>
      </c>
    </row>
    <row r="652" spans="1:17" ht="15.75" customHeight="1">
      <c r="A652" s="74"/>
      <c r="B652" s="74"/>
      <c r="C652" s="127" t="s">
        <v>396</v>
      </c>
      <c r="D652" s="779" t="s">
        <v>416</v>
      </c>
      <c r="E652" s="780"/>
      <c r="F652" s="11">
        <v>162603</v>
      </c>
      <c r="G652" s="71">
        <f>0+'[1]táj.2'!G652</f>
        <v>0</v>
      </c>
      <c r="H652" s="71">
        <f>0+'[1]táj.2'!H652</f>
        <v>0</v>
      </c>
      <c r="I652" s="71">
        <f>0+'[1]táj.2'!I652</f>
        <v>0</v>
      </c>
      <c r="J652" s="71">
        <f>0+'[1]táj.2'!J652</f>
        <v>0</v>
      </c>
      <c r="K652" s="71">
        <f>0+'[1]táj.2'!K652</f>
        <v>0</v>
      </c>
      <c r="L652" s="71">
        <f>11674+'[1]táj.2'!L652</f>
        <v>11674</v>
      </c>
      <c r="M652" s="71">
        <f>0+'[1]táj.2'!M652</f>
        <v>0</v>
      </c>
      <c r="N652" s="71">
        <f>0+'[1]táj.2'!N652</f>
        <v>0</v>
      </c>
      <c r="O652" s="71">
        <f>0+'[1]táj.2'!O652</f>
        <v>0</v>
      </c>
      <c r="P652" s="71">
        <f>0+'[1]táj.2'!P652</f>
        <v>0</v>
      </c>
      <c r="Q652" s="11">
        <f>SUM(G652:P652)</f>
        <v>11674</v>
      </c>
    </row>
    <row r="653" spans="1:17" ht="15.75" customHeight="1">
      <c r="A653" s="74"/>
      <c r="B653" s="74"/>
      <c r="C653" s="127" t="s">
        <v>714</v>
      </c>
      <c r="D653" s="781" t="s">
        <v>667</v>
      </c>
      <c r="E653" s="782"/>
      <c r="F653" s="11">
        <v>172920</v>
      </c>
      <c r="G653" s="71">
        <f>0+'[1]táj.2'!G653</f>
        <v>0</v>
      </c>
      <c r="H653" s="71">
        <f>0+'[1]táj.2'!H653</f>
        <v>0</v>
      </c>
      <c r="I653" s="71">
        <f>0+'[1]táj.2'!I653</f>
        <v>3767</v>
      </c>
      <c r="J653" s="71">
        <f>0+'[1]táj.2'!J653</f>
        <v>0</v>
      </c>
      <c r="K653" s="71">
        <f>0+'[1]táj.2'!K653</f>
        <v>0</v>
      </c>
      <c r="L653" s="71">
        <f>0+'[1]táj.2'!L653</f>
        <v>0</v>
      </c>
      <c r="M653" s="71">
        <f>0+'[1]táj.2'!M653</f>
        <v>0</v>
      </c>
      <c r="N653" s="71">
        <f>0+'[1]táj.2'!N653</f>
        <v>0</v>
      </c>
      <c r="O653" s="71">
        <f>0+'[1]táj.2'!O653</f>
        <v>0</v>
      </c>
      <c r="P653" s="71">
        <f>25000+'[1]táj.2'!P653</f>
        <v>25000</v>
      </c>
      <c r="Q653" s="11">
        <f>SUM(G653:P653)</f>
        <v>28767</v>
      </c>
    </row>
    <row r="654" spans="1:17" ht="15.75" customHeight="1">
      <c r="A654" s="65"/>
      <c r="B654" s="65"/>
      <c r="C654" s="126"/>
      <c r="D654" s="104" t="s">
        <v>381</v>
      </c>
      <c r="E654" s="385"/>
      <c r="F654" s="69"/>
      <c r="G654" s="67">
        <f aca="true" t="shared" si="37" ref="G654:Q654">SUM(G642:G653)</f>
        <v>0</v>
      </c>
      <c r="H654" s="69">
        <f t="shared" si="37"/>
        <v>0</v>
      </c>
      <c r="I654" s="69">
        <f t="shared" si="37"/>
        <v>78587</v>
      </c>
      <c r="J654" s="69">
        <f t="shared" si="37"/>
        <v>0</v>
      </c>
      <c r="K654" s="69">
        <f t="shared" si="37"/>
        <v>0</v>
      </c>
      <c r="L654" s="69">
        <f t="shared" si="37"/>
        <v>103439</v>
      </c>
      <c r="M654" s="69">
        <f t="shared" si="37"/>
        <v>1806</v>
      </c>
      <c r="N654" s="69">
        <f t="shared" si="37"/>
        <v>28500</v>
      </c>
      <c r="O654" s="69">
        <f t="shared" si="37"/>
        <v>0</v>
      </c>
      <c r="P654" s="69">
        <f t="shared" si="37"/>
        <v>25000</v>
      </c>
      <c r="Q654" s="69">
        <f t="shared" si="37"/>
        <v>237332</v>
      </c>
    </row>
    <row r="655" spans="1:17" ht="13.5" customHeight="1">
      <c r="A655" s="70">
        <v>1</v>
      </c>
      <c r="B655" s="70">
        <v>18</v>
      </c>
      <c r="C655" s="127"/>
      <c r="D655" s="136" t="s">
        <v>1169</v>
      </c>
      <c r="E655" s="386"/>
      <c r="F655" s="12"/>
      <c r="G655" s="71"/>
      <c r="H655" s="6"/>
      <c r="I655" s="6"/>
      <c r="J655" s="6"/>
      <c r="K655" s="6"/>
      <c r="L655" s="6"/>
      <c r="M655" s="11"/>
      <c r="N655" s="11"/>
      <c r="O655" s="11"/>
      <c r="P655" s="11"/>
      <c r="Q655" s="11"/>
    </row>
    <row r="656" spans="1:17" ht="13.5" customHeight="1">
      <c r="A656" s="70"/>
      <c r="B656" s="70"/>
      <c r="C656" s="127"/>
      <c r="D656" s="133" t="s">
        <v>816</v>
      </c>
      <c r="E656" s="387"/>
      <c r="F656" s="142"/>
      <c r="G656" s="71"/>
      <c r="H656" s="6"/>
      <c r="I656" s="6"/>
      <c r="J656" s="6"/>
      <c r="K656" s="6"/>
      <c r="L656" s="6"/>
      <c r="M656" s="11"/>
      <c r="N656" s="11"/>
      <c r="O656" s="11"/>
      <c r="P656" s="11"/>
      <c r="Q656" s="11"/>
    </row>
    <row r="657" spans="1:17" ht="13.5" customHeight="1">
      <c r="A657" s="70"/>
      <c r="B657" s="70"/>
      <c r="C657" s="127"/>
      <c r="D657" s="133" t="s">
        <v>375</v>
      </c>
      <c r="E657" s="10">
        <v>2</v>
      </c>
      <c r="F657" s="11">
        <v>181905</v>
      </c>
      <c r="G657" s="71">
        <f>0+'[1]táj.2'!G657</f>
        <v>0</v>
      </c>
      <c r="H657" s="71">
        <f>0+'[1]táj.2'!H657</f>
        <v>0</v>
      </c>
      <c r="I657" s="71">
        <f>17000+'[1]táj.2'!I657</f>
        <v>17000</v>
      </c>
      <c r="J657" s="71">
        <f>0+'[1]táj.2'!J657</f>
        <v>0</v>
      </c>
      <c r="K657" s="71">
        <f>0+'[1]táj.2'!K657</f>
        <v>0</v>
      </c>
      <c r="L657" s="71">
        <f>0+'[1]táj.2'!L657</f>
        <v>0</v>
      </c>
      <c r="M657" s="71">
        <f>0+'[1]táj.2'!M657</f>
        <v>0</v>
      </c>
      <c r="N657" s="71">
        <f>0+'[1]táj.2'!N657</f>
        <v>0</v>
      </c>
      <c r="O657" s="71">
        <f>0+'[1]táj.2'!O657</f>
        <v>0</v>
      </c>
      <c r="P657" s="71">
        <f>0+'[1]táj.2'!P657</f>
        <v>0</v>
      </c>
      <c r="Q657" s="11">
        <f>SUM(G657:P657)</f>
        <v>17000</v>
      </c>
    </row>
    <row r="658" spans="1:17" ht="27.75" customHeight="1">
      <c r="A658" s="70"/>
      <c r="B658" s="70"/>
      <c r="C658" s="127"/>
      <c r="D658" s="95" t="s">
        <v>1214</v>
      </c>
      <c r="E658" s="10">
        <v>1</v>
      </c>
      <c r="F658" s="11" t="s">
        <v>166</v>
      </c>
      <c r="G658" s="71">
        <f>0+'[1]táj.2'!G658</f>
        <v>0</v>
      </c>
      <c r="H658" s="71">
        <f>0+'[1]táj.2'!H658</f>
        <v>0</v>
      </c>
      <c r="I658" s="71">
        <f>28173+'[1]táj.2'!I658</f>
        <v>28173</v>
      </c>
      <c r="J658" s="71">
        <f>0+'[1]táj.2'!J658</f>
        <v>0</v>
      </c>
      <c r="K658" s="71">
        <f>0+'[1]táj.2'!K658</f>
        <v>0</v>
      </c>
      <c r="L658" s="71">
        <f>0+'[1]táj.2'!L658</f>
        <v>0</v>
      </c>
      <c r="M658" s="71">
        <f>0+'[1]táj.2'!M658</f>
        <v>0</v>
      </c>
      <c r="N658" s="71">
        <f>0+'[1]táj.2'!N658</f>
        <v>0</v>
      </c>
      <c r="O658" s="71">
        <f>0+'[1]táj.2'!O658</f>
        <v>0</v>
      </c>
      <c r="P658" s="71">
        <f>0+'[1]táj.2'!P658</f>
        <v>0</v>
      </c>
      <c r="Q658" s="11">
        <f>SUM(G658:P658)</f>
        <v>28173</v>
      </c>
    </row>
    <row r="659" spans="1:17" ht="13.5" customHeight="1">
      <c r="A659" s="70"/>
      <c r="B659" s="70"/>
      <c r="C659" s="127"/>
      <c r="D659" s="133" t="s">
        <v>718</v>
      </c>
      <c r="E659" s="10">
        <v>1</v>
      </c>
      <c r="F659" s="11">
        <v>181906</v>
      </c>
      <c r="G659" s="71">
        <f>0+'[1]táj.2'!G659</f>
        <v>0</v>
      </c>
      <c r="H659" s="71">
        <f>0+'[1]táj.2'!H659</f>
        <v>0</v>
      </c>
      <c r="I659" s="71">
        <f>1500+'[1]táj.2'!I659</f>
        <v>1500</v>
      </c>
      <c r="J659" s="71">
        <f>0+'[1]táj.2'!J659</f>
        <v>0</v>
      </c>
      <c r="K659" s="71">
        <f>0+'[1]táj.2'!K659</f>
        <v>0</v>
      </c>
      <c r="L659" s="71">
        <f>1993+'[1]táj.2'!L659</f>
        <v>1993</v>
      </c>
      <c r="M659" s="71">
        <f>0+'[1]táj.2'!M659</f>
        <v>0</v>
      </c>
      <c r="N659" s="71">
        <f>0+'[1]táj.2'!N659</f>
        <v>0</v>
      </c>
      <c r="O659" s="71">
        <f>0+'[1]táj.2'!O659</f>
        <v>0</v>
      </c>
      <c r="P659" s="71">
        <f>0+'[1]táj.2'!P659</f>
        <v>0</v>
      </c>
      <c r="Q659" s="11">
        <f>SUM(G659:P659)</f>
        <v>3493</v>
      </c>
    </row>
    <row r="660" spans="1:17" ht="13.5" customHeight="1">
      <c r="A660" s="70"/>
      <c r="B660" s="70"/>
      <c r="C660" s="127"/>
      <c r="D660" s="576" t="s">
        <v>984</v>
      </c>
      <c r="E660" s="10">
        <v>1</v>
      </c>
      <c r="F660" s="11">
        <v>182909</v>
      </c>
      <c r="G660" s="71">
        <f>0+'[1]táj.2'!G660</f>
        <v>0</v>
      </c>
      <c r="H660" s="71">
        <f>0+'[1]táj.2'!H660</f>
        <v>0</v>
      </c>
      <c r="I660" s="71">
        <f>1895+'[1]táj.2'!I660</f>
        <v>1895</v>
      </c>
      <c r="J660" s="71">
        <f>0+'[1]táj.2'!J660</f>
        <v>0</v>
      </c>
      <c r="K660" s="71">
        <f>0+'[1]táj.2'!K660</f>
        <v>0</v>
      </c>
      <c r="L660" s="71">
        <f>0+'[1]táj.2'!L660</f>
        <v>0</v>
      </c>
      <c r="M660" s="71">
        <f>0+'[1]táj.2'!M660</f>
        <v>0</v>
      </c>
      <c r="N660" s="71">
        <f>0+'[1]táj.2'!N660</f>
        <v>0</v>
      </c>
      <c r="O660" s="71">
        <f>0+'[1]táj.2'!O660</f>
        <v>0</v>
      </c>
      <c r="P660" s="71">
        <f>0+'[1]táj.2'!P660</f>
        <v>0</v>
      </c>
      <c r="Q660" s="11">
        <f>SUM(G660:P660)</f>
        <v>1895</v>
      </c>
    </row>
    <row r="661" spans="1:17" ht="15" customHeight="1">
      <c r="A661" s="70"/>
      <c r="B661" s="70"/>
      <c r="C661" s="127"/>
      <c r="D661" s="101" t="s">
        <v>728</v>
      </c>
      <c r="E661" s="388"/>
      <c r="F661" s="143"/>
      <c r="G661" s="71">
        <f>0+'[1]táj.2'!G661</f>
        <v>0</v>
      </c>
      <c r="H661" s="71">
        <f>0+'[1]táj.2'!H661</f>
        <v>0</v>
      </c>
      <c r="I661" s="71">
        <f>0+'[1]táj.2'!I661</f>
        <v>0</v>
      </c>
      <c r="J661" s="71">
        <f>0+'[1]táj.2'!J661</f>
        <v>0</v>
      </c>
      <c r="K661" s="71">
        <f>0+'[1]táj.2'!K661</f>
        <v>0</v>
      </c>
      <c r="L661" s="71">
        <f>0+'[1]táj.2'!L661</f>
        <v>0</v>
      </c>
      <c r="M661" s="71">
        <f>0+'[1]táj.2'!M661</f>
        <v>0</v>
      </c>
      <c r="N661" s="71">
        <f>0+'[1]táj.2'!N661</f>
        <v>0</v>
      </c>
      <c r="O661" s="71">
        <f>0+'[1]táj.2'!O661</f>
        <v>0</v>
      </c>
      <c r="P661" s="71">
        <f>0+'[1]táj.2'!P661</f>
        <v>0</v>
      </c>
      <c r="Q661" s="11"/>
    </row>
    <row r="662" spans="1:17" ht="15" customHeight="1">
      <c r="A662" s="70"/>
      <c r="B662" s="70"/>
      <c r="C662" s="127"/>
      <c r="D662" s="133" t="s">
        <v>167</v>
      </c>
      <c r="E662" s="783">
        <v>1</v>
      </c>
      <c r="F662" s="11">
        <v>221950</v>
      </c>
      <c r="G662" s="71">
        <f>128341+'[1]táj.2'!G662</f>
        <v>128341</v>
      </c>
      <c r="H662" s="71">
        <f>24179+'[1]táj.2'!H662</f>
        <v>24179</v>
      </c>
      <c r="I662" s="71">
        <f>1312+'[1]táj.2'!I662</f>
        <v>1312</v>
      </c>
      <c r="J662" s="71">
        <f>0+'[1]táj.2'!J662</f>
        <v>0</v>
      </c>
      <c r="K662" s="71">
        <f>0+'[1]táj.2'!K662</f>
        <v>0</v>
      </c>
      <c r="L662" s="71">
        <f>0+'[1]táj.2'!L662</f>
        <v>0</v>
      </c>
      <c r="M662" s="71">
        <f>0+'[1]táj.2'!M662</f>
        <v>0</v>
      </c>
      <c r="N662" s="71">
        <f>0+'[1]táj.2'!N662</f>
        <v>0</v>
      </c>
      <c r="O662" s="71">
        <f>0+'[1]táj.2'!O662</f>
        <v>0</v>
      </c>
      <c r="P662" s="71">
        <f>0+'[1]táj.2'!P662</f>
        <v>0</v>
      </c>
      <c r="Q662" s="77">
        <f>SUM(G662:P662)</f>
        <v>153832</v>
      </c>
    </row>
    <row r="663" spans="1:17" ht="24.75" customHeight="1">
      <c r="A663" s="70"/>
      <c r="B663" s="70"/>
      <c r="C663" s="127"/>
      <c r="D663" s="95" t="s">
        <v>1171</v>
      </c>
      <c r="E663" s="389">
        <v>1</v>
      </c>
      <c r="F663" s="11">
        <v>181907</v>
      </c>
      <c r="G663" s="71">
        <f>0+'[1]táj.2'!G663</f>
        <v>0</v>
      </c>
      <c r="H663" s="71">
        <f>0+'[1]táj.2'!H663</f>
        <v>0</v>
      </c>
      <c r="I663" s="71">
        <f>20710+'[1]táj.2'!I663</f>
        <v>20710</v>
      </c>
      <c r="J663" s="71">
        <f>0+'[1]táj.2'!J663</f>
        <v>0</v>
      </c>
      <c r="K663" s="71">
        <f>0+'[1]táj.2'!K663</f>
        <v>0</v>
      </c>
      <c r="L663" s="71">
        <f>0+'[1]táj.2'!L663</f>
        <v>0</v>
      </c>
      <c r="M663" s="71">
        <f>0+'[1]táj.2'!M663</f>
        <v>0</v>
      </c>
      <c r="N663" s="71">
        <f>0+'[1]táj.2'!N663</f>
        <v>0</v>
      </c>
      <c r="O663" s="71">
        <f>0+'[1]táj.2'!O663</f>
        <v>0</v>
      </c>
      <c r="P663" s="71">
        <f>0+'[1]táj.2'!P663</f>
        <v>0</v>
      </c>
      <c r="Q663" s="11">
        <f>SUM(G663:P663)</f>
        <v>20710</v>
      </c>
    </row>
    <row r="664" spans="1:17" ht="15.75" customHeight="1">
      <c r="A664" s="70"/>
      <c r="B664" s="70"/>
      <c r="C664" s="127"/>
      <c r="D664" s="133" t="s">
        <v>825</v>
      </c>
      <c r="E664" s="389"/>
      <c r="F664" s="142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11"/>
    </row>
    <row r="665" spans="1:17" ht="12.75" customHeight="1">
      <c r="A665" s="70"/>
      <c r="B665" s="70"/>
      <c r="C665" s="127"/>
      <c r="D665" s="95" t="s">
        <v>217</v>
      </c>
      <c r="E665" s="389">
        <v>1</v>
      </c>
      <c r="F665" s="11">
        <v>181909</v>
      </c>
      <c r="G665" s="71">
        <f>0+'[1]táj.2'!G665</f>
        <v>0</v>
      </c>
      <c r="H665" s="71">
        <f>0+'[1]táj.2'!H665</f>
        <v>0</v>
      </c>
      <c r="I665" s="71">
        <f>1502+'[1]táj.2'!I665</f>
        <v>1502</v>
      </c>
      <c r="J665" s="71">
        <f>0+'[1]táj.2'!J665</f>
        <v>0</v>
      </c>
      <c r="K665" s="71">
        <f>1900+'[1]táj.2'!K665</f>
        <v>1900</v>
      </c>
      <c r="L665" s="71">
        <f>0+'[1]táj.2'!L665</f>
        <v>0</v>
      </c>
      <c r="M665" s="71">
        <f>0+'[1]táj.2'!M665</f>
        <v>0</v>
      </c>
      <c r="N665" s="71">
        <f>0+'[1]táj.2'!N665</f>
        <v>0</v>
      </c>
      <c r="O665" s="71">
        <f>0+'[1]táj.2'!O665</f>
        <v>0</v>
      </c>
      <c r="P665" s="71">
        <f>0+'[1]táj.2'!P665</f>
        <v>0</v>
      </c>
      <c r="Q665" s="11">
        <f>SUM(G665:P665)</f>
        <v>3402</v>
      </c>
    </row>
    <row r="666" spans="1:17" ht="26.25" customHeight="1">
      <c r="A666" s="70"/>
      <c r="B666" s="70"/>
      <c r="C666" s="127"/>
      <c r="D666" s="95" t="s">
        <v>182</v>
      </c>
      <c r="E666" s="388">
        <v>2</v>
      </c>
      <c r="F666" s="29">
        <v>191142</v>
      </c>
      <c r="G666" s="71">
        <f>0+'[1]táj.2'!G666</f>
        <v>0</v>
      </c>
      <c r="H666" s="71">
        <f>0+'[1]táj.2'!H666</f>
        <v>0</v>
      </c>
      <c r="I666" s="71">
        <f>0+'[1]táj.2'!I666</f>
        <v>0</v>
      </c>
      <c r="J666" s="71">
        <f>0+'[1]táj.2'!J666</f>
        <v>0</v>
      </c>
      <c r="K666" s="71">
        <f>1000+'[1]táj.2'!K666</f>
        <v>1000</v>
      </c>
      <c r="L666" s="71">
        <f>0+'[1]táj.2'!L666</f>
        <v>0</v>
      </c>
      <c r="M666" s="71">
        <f>0+'[1]táj.2'!M666</f>
        <v>0</v>
      </c>
      <c r="N666" s="71">
        <f>0+'[1]táj.2'!N666</f>
        <v>0</v>
      </c>
      <c r="O666" s="71">
        <f>0+'[1]táj.2'!O666</f>
        <v>0</v>
      </c>
      <c r="P666" s="71">
        <f>0+'[1]táj.2'!P666</f>
        <v>0</v>
      </c>
      <c r="Q666" s="11">
        <f>SUM(G666:P666)</f>
        <v>1000</v>
      </c>
    </row>
    <row r="667" spans="1:17" ht="29.25" customHeight="1">
      <c r="A667" s="70"/>
      <c r="B667" s="70"/>
      <c r="C667" s="127"/>
      <c r="D667" s="95" t="s">
        <v>183</v>
      </c>
      <c r="E667" s="388">
        <v>2</v>
      </c>
      <c r="F667" s="29">
        <v>191154</v>
      </c>
      <c r="G667" s="71">
        <f>0+'[1]táj.2'!G667</f>
        <v>0</v>
      </c>
      <c r="H667" s="71">
        <f>0+'[1]táj.2'!H667</f>
        <v>0</v>
      </c>
      <c r="I667" s="71">
        <f>0+'[1]táj.2'!I667</f>
        <v>0</v>
      </c>
      <c r="J667" s="71">
        <f>0+'[1]táj.2'!J667</f>
        <v>0</v>
      </c>
      <c r="K667" s="71">
        <f>2600+'[1]táj.2'!K667</f>
        <v>2600</v>
      </c>
      <c r="L667" s="71">
        <f>0+'[1]táj.2'!L667</f>
        <v>0</v>
      </c>
      <c r="M667" s="71">
        <f>0+'[1]táj.2'!M667</f>
        <v>0</v>
      </c>
      <c r="N667" s="71">
        <f>0+'[1]táj.2'!N667</f>
        <v>0</v>
      </c>
      <c r="O667" s="71">
        <f>0+'[1]táj.2'!O667</f>
        <v>0</v>
      </c>
      <c r="P667" s="71">
        <f>0+'[1]táj.2'!P667</f>
        <v>0</v>
      </c>
      <c r="Q667" s="11">
        <f>SUM(G667:P667)</f>
        <v>2600</v>
      </c>
    </row>
    <row r="668" spans="1:17" ht="15" customHeight="1">
      <c r="A668" s="70"/>
      <c r="B668" s="70"/>
      <c r="C668" s="127"/>
      <c r="D668" s="95" t="s">
        <v>794</v>
      </c>
      <c r="E668" s="389"/>
      <c r="F668" s="142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11"/>
    </row>
    <row r="669" spans="1:17" ht="15" customHeight="1">
      <c r="A669" s="70"/>
      <c r="B669" s="70"/>
      <c r="C669" s="127"/>
      <c r="D669" s="95" t="s">
        <v>942</v>
      </c>
      <c r="E669" s="389">
        <v>1</v>
      </c>
      <c r="F669" s="11">
        <v>181902</v>
      </c>
      <c r="G669" s="71">
        <f>0+'[1]táj.2'!G669</f>
        <v>0</v>
      </c>
      <c r="H669" s="71">
        <f>0+'[1]táj.2'!H669</f>
        <v>0</v>
      </c>
      <c r="I669" s="71">
        <f>100+'[1]táj.2'!I669</f>
        <v>100</v>
      </c>
      <c r="J669" s="71">
        <f>0+'[1]táj.2'!J669</f>
        <v>0</v>
      </c>
      <c r="K669" s="71">
        <f>0+'[1]táj.2'!K669</f>
        <v>0</v>
      </c>
      <c r="L669" s="71">
        <f>0+'[1]táj.2'!L669</f>
        <v>0</v>
      </c>
      <c r="M669" s="71">
        <f>0+'[1]táj.2'!M669</f>
        <v>0</v>
      </c>
      <c r="N669" s="71">
        <f>0+'[1]táj.2'!N669</f>
        <v>0</v>
      </c>
      <c r="O669" s="71">
        <f>0+'[1]táj.2'!O669</f>
        <v>0</v>
      </c>
      <c r="P669" s="71">
        <f>0+'[1]táj.2'!P669</f>
        <v>0</v>
      </c>
      <c r="Q669" s="11">
        <f>SUM(G669:P669)</f>
        <v>100</v>
      </c>
    </row>
    <row r="670" spans="1:17" ht="13.5" customHeight="1">
      <c r="A670" s="784"/>
      <c r="B670" s="784"/>
      <c r="C670" s="784"/>
      <c r="D670" s="133" t="s">
        <v>584</v>
      </c>
      <c r="E670" s="10">
        <v>1</v>
      </c>
      <c r="F670" s="11">
        <v>181904</v>
      </c>
      <c r="G670" s="71">
        <f>0+'[1]táj.2'!G670</f>
        <v>0</v>
      </c>
      <c r="H670" s="71">
        <f>0+'[1]táj.2'!H670</f>
        <v>0</v>
      </c>
      <c r="I670" s="71">
        <f>200+'[1]táj.2'!I670</f>
        <v>200</v>
      </c>
      <c r="J670" s="71">
        <f>0+'[1]táj.2'!J670</f>
        <v>0</v>
      </c>
      <c r="K670" s="71">
        <f>0+'[1]táj.2'!K670</f>
        <v>0</v>
      </c>
      <c r="L670" s="71">
        <f>0+'[1]táj.2'!L670</f>
        <v>0</v>
      </c>
      <c r="M670" s="71">
        <f>0+'[1]táj.2'!M670</f>
        <v>0</v>
      </c>
      <c r="N670" s="71">
        <f>0+'[1]táj.2'!N670</f>
        <v>0</v>
      </c>
      <c r="O670" s="71">
        <f>0+'[1]táj.2'!O670</f>
        <v>0</v>
      </c>
      <c r="P670" s="71">
        <f>0+'[1]táj.2'!P670</f>
        <v>0</v>
      </c>
      <c r="Q670" s="11">
        <f>SUM(G670:P670)</f>
        <v>200</v>
      </c>
    </row>
    <row r="671" spans="1:17" ht="15" customHeight="1">
      <c r="A671" s="69"/>
      <c r="B671" s="69"/>
      <c r="C671" s="66"/>
      <c r="D671" s="104" t="s">
        <v>168</v>
      </c>
      <c r="E671" s="385"/>
      <c r="F671" s="69"/>
      <c r="G671" s="390">
        <f aca="true" t="shared" si="38" ref="G671:Q671">SUM(G657:G670)</f>
        <v>128341</v>
      </c>
      <c r="H671" s="205">
        <f t="shared" si="38"/>
        <v>24179</v>
      </c>
      <c r="I671" s="205">
        <f t="shared" si="38"/>
        <v>72392</v>
      </c>
      <c r="J671" s="205">
        <f t="shared" si="38"/>
        <v>0</v>
      </c>
      <c r="K671" s="205">
        <f t="shared" si="38"/>
        <v>5500</v>
      </c>
      <c r="L671" s="205">
        <f t="shared" si="38"/>
        <v>1993</v>
      </c>
      <c r="M671" s="205">
        <f t="shared" si="38"/>
        <v>0</v>
      </c>
      <c r="N671" s="205">
        <f t="shared" si="38"/>
        <v>0</v>
      </c>
      <c r="O671" s="205">
        <f t="shared" si="38"/>
        <v>0</v>
      </c>
      <c r="P671" s="205">
        <f t="shared" si="38"/>
        <v>0</v>
      </c>
      <c r="Q671" s="205">
        <f t="shared" si="38"/>
        <v>232405</v>
      </c>
    </row>
    <row r="672" spans="1:17" ht="15" customHeight="1">
      <c r="A672" s="12"/>
      <c r="B672" s="12"/>
      <c r="C672" s="690"/>
      <c r="D672" s="278" t="s">
        <v>1225</v>
      </c>
      <c r="E672" s="386"/>
      <c r="F672" s="12"/>
      <c r="G672" s="660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1:17" ht="15" customHeight="1">
      <c r="A673" s="12"/>
      <c r="B673" s="12"/>
      <c r="C673" s="400"/>
      <c r="D673" s="133" t="s">
        <v>686</v>
      </c>
      <c r="E673" s="723"/>
      <c r="F673" s="11"/>
      <c r="G673" s="785"/>
      <c r="H673" s="786"/>
      <c r="I673" s="786"/>
      <c r="J673" s="786"/>
      <c r="K673" s="786"/>
      <c r="L673" s="786"/>
      <c r="M673" s="786"/>
      <c r="N673" s="786"/>
      <c r="O673" s="6"/>
      <c r="P673" s="6"/>
      <c r="Q673" s="6"/>
    </row>
    <row r="674" spans="1:17" ht="15" customHeight="1">
      <c r="A674" s="12"/>
      <c r="B674" s="12"/>
      <c r="C674" s="127" t="s">
        <v>388</v>
      </c>
      <c r="D674" s="271" t="s">
        <v>39</v>
      </c>
      <c r="E674" s="778"/>
      <c r="F674" s="11">
        <v>182905</v>
      </c>
      <c r="G674" s="660">
        <f>0+'[1]táj.2'!G674</f>
        <v>0</v>
      </c>
      <c r="H674" s="660">
        <f>0+'[1]táj.2'!H674</f>
        <v>0</v>
      </c>
      <c r="I674" s="660">
        <f>0+'[1]táj.2'!I674</f>
        <v>0</v>
      </c>
      <c r="J674" s="660">
        <f>0+'[1]táj.2'!J674</f>
        <v>0</v>
      </c>
      <c r="K674" s="660">
        <f>0+'[1]táj.2'!K674</f>
        <v>0</v>
      </c>
      <c r="L674" s="660">
        <f>0+'[1]táj.2'!L674</f>
        <v>5294</v>
      </c>
      <c r="M674" s="660">
        <f>5294+'[1]táj.2'!M674</f>
        <v>0</v>
      </c>
      <c r="N674" s="660">
        <f>0+'[1]táj.2'!N674</f>
        <v>0</v>
      </c>
      <c r="O674" s="660">
        <f>0+'[1]táj.2'!O674</f>
        <v>0</v>
      </c>
      <c r="P674" s="660">
        <f>0+'[1]táj.2'!P674</f>
        <v>0</v>
      </c>
      <c r="Q674" s="6">
        <f>SUM(G674:P674)</f>
        <v>5294</v>
      </c>
    </row>
    <row r="675" spans="1:17" ht="15" customHeight="1">
      <c r="A675" s="69"/>
      <c r="B675" s="69"/>
      <c r="C675" s="66"/>
      <c r="D675" s="104" t="s">
        <v>944</v>
      </c>
      <c r="E675" s="385"/>
      <c r="F675" s="69"/>
      <c r="G675" s="714">
        <f aca="true" t="shared" si="39" ref="G675:Q675">SUM(G671:G674)</f>
        <v>128341</v>
      </c>
      <c r="H675" s="8">
        <f t="shared" si="39"/>
        <v>24179</v>
      </c>
      <c r="I675" s="8">
        <f t="shared" si="39"/>
        <v>72392</v>
      </c>
      <c r="J675" s="8">
        <f t="shared" si="39"/>
        <v>0</v>
      </c>
      <c r="K675" s="8">
        <f t="shared" si="39"/>
        <v>5500</v>
      </c>
      <c r="L675" s="8">
        <f t="shared" si="39"/>
        <v>7287</v>
      </c>
      <c r="M675" s="8">
        <f t="shared" si="39"/>
        <v>0</v>
      </c>
      <c r="N675" s="8">
        <f t="shared" si="39"/>
        <v>0</v>
      </c>
      <c r="O675" s="8">
        <f t="shared" si="39"/>
        <v>0</v>
      </c>
      <c r="P675" s="8">
        <f t="shared" si="39"/>
        <v>0</v>
      </c>
      <c r="Q675" s="8">
        <f t="shared" si="39"/>
        <v>237699</v>
      </c>
    </row>
    <row r="676" spans="1:17" ht="15" customHeight="1">
      <c r="A676" s="70">
        <v>1</v>
      </c>
      <c r="B676" s="70">
        <v>19</v>
      </c>
      <c r="C676" s="127"/>
      <c r="D676" s="136" t="s">
        <v>945</v>
      </c>
      <c r="E676" s="384"/>
      <c r="F676" s="11"/>
      <c r="G676" s="71"/>
      <c r="H676" s="6"/>
      <c r="I676" s="6"/>
      <c r="J676" s="6"/>
      <c r="K676" s="6"/>
      <c r="L676" s="6"/>
      <c r="M676" s="11"/>
      <c r="N676" s="11"/>
      <c r="O676" s="11"/>
      <c r="P676" s="11"/>
      <c r="Q676" s="11"/>
    </row>
    <row r="677" spans="1:17" ht="15" customHeight="1">
      <c r="A677" s="70"/>
      <c r="B677" s="70"/>
      <c r="C677" s="127"/>
      <c r="D677" s="262" t="s">
        <v>795</v>
      </c>
      <c r="E677" s="387"/>
      <c r="F677" s="142"/>
      <c r="G677" s="71"/>
      <c r="H677" s="6"/>
      <c r="I677" s="6"/>
      <c r="J677" s="6"/>
      <c r="K677" s="6"/>
      <c r="L677" s="6"/>
      <c r="M677" s="11"/>
      <c r="N677" s="11"/>
      <c r="O677" s="11"/>
      <c r="P677" s="11"/>
      <c r="Q677" s="11"/>
    </row>
    <row r="678" spans="1:17" ht="15" customHeight="1">
      <c r="A678" s="70"/>
      <c r="B678" s="70"/>
      <c r="C678" s="127"/>
      <c r="D678" s="133" t="s">
        <v>7</v>
      </c>
      <c r="E678" s="389">
        <v>1</v>
      </c>
      <c r="F678" s="11">
        <v>191101</v>
      </c>
      <c r="G678" s="71">
        <f>0+'[1]táj.2'!G678</f>
        <v>0</v>
      </c>
      <c r="H678" s="71">
        <f>0+'[1]táj.2'!H678</f>
        <v>0</v>
      </c>
      <c r="I678" s="71">
        <f>0+'[1]táj.2'!I678</f>
        <v>0</v>
      </c>
      <c r="J678" s="71">
        <f>0+'[1]táj.2'!J678</f>
        <v>0</v>
      </c>
      <c r="K678" s="71">
        <f>6000+'[1]táj.2'!K678</f>
        <v>6000</v>
      </c>
      <c r="L678" s="71">
        <f>0+'[1]táj.2'!L678</f>
        <v>0</v>
      </c>
      <c r="M678" s="71">
        <f>0+'[1]táj.2'!M678</f>
        <v>0</v>
      </c>
      <c r="N678" s="71">
        <f>0+'[1]táj.2'!N678</f>
        <v>0</v>
      </c>
      <c r="O678" s="71">
        <f>0+'[1]táj.2'!O678</f>
        <v>0</v>
      </c>
      <c r="P678" s="71">
        <f>0+'[1]táj.2'!P678</f>
        <v>0</v>
      </c>
      <c r="Q678" s="11">
        <f>SUM(G678:P678)</f>
        <v>6000</v>
      </c>
    </row>
    <row r="679" spans="1:17" ht="15" customHeight="1">
      <c r="A679" s="70"/>
      <c r="B679" s="70"/>
      <c r="C679" s="127"/>
      <c r="D679" s="133" t="s">
        <v>8</v>
      </c>
      <c r="E679" s="389">
        <v>1</v>
      </c>
      <c r="F679" s="11">
        <v>191901</v>
      </c>
      <c r="G679" s="71">
        <f>0+'[1]táj.2'!G679</f>
        <v>0</v>
      </c>
      <c r="H679" s="71">
        <f>0+'[1]táj.2'!H679</f>
        <v>0</v>
      </c>
      <c r="I679" s="71">
        <f>0+'[1]táj.2'!I679</f>
        <v>0</v>
      </c>
      <c r="J679" s="71">
        <f>0+'[1]táj.2'!J679</f>
        <v>0</v>
      </c>
      <c r="K679" s="71">
        <f>0+'[1]táj.2'!K679</f>
        <v>0</v>
      </c>
      <c r="L679" s="71">
        <f>0+'[1]táj.2'!L679</f>
        <v>0</v>
      </c>
      <c r="M679" s="71">
        <f>0+'[1]táj.2'!M679</f>
        <v>0</v>
      </c>
      <c r="N679" s="71">
        <f>0+'[1]táj.2'!N679</f>
        <v>0</v>
      </c>
      <c r="O679" s="71">
        <f>0+'[1]táj.2'!O679</f>
        <v>0</v>
      </c>
      <c r="P679" s="71">
        <f>88461+'[1]táj.2'!P679</f>
        <v>88461</v>
      </c>
      <c r="Q679" s="11">
        <f>SUM(G679:P679)</f>
        <v>88461</v>
      </c>
    </row>
    <row r="680" spans="1:17" ht="15" customHeight="1">
      <c r="A680" s="70"/>
      <c r="B680" s="70"/>
      <c r="C680" s="127"/>
      <c r="D680" s="178" t="s">
        <v>789</v>
      </c>
      <c r="E680" s="142">
        <v>1</v>
      </c>
      <c r="F680" s="11">
        <v>191901</v>
      </c>
      <c r="G680" s="71">
        <f>0+'[1]táj.2'!G680</f>
        <v>0</v>
      </c>
      <c r="H680" s="71">
        <f>0+'[1]táj.2'!H680</f>
        <v>0</v>
      </c>
      <c r="I680" s="71">
        <f>0+'[1]táj.2'!I680</f>
        <v>0</v>
      </c>
      <c r="J680" s="71">
        <f>0+'[1]táj.2'!J680</f>
        <v>0</v>
      </c>
      <c r="K680" s="71">
        <f>0+'[1]táj.2'!K680</f>
        <v>0</v>
      </c>
      <c r="L680" s="71">
        <f>0+'[1]táj.2'!L680</f>
        <v>0</v>
      </c>
      <c r="M680" s="71">
        <f>0+'[1]táj.2'!M680</f>
        <v>0</v>
      </c>
      <c r="N680" s="71">
        <f>0+'[1]táj.2'!N680</f>
        <v>0</v>
      </c>
      <c r="O680" s="71">
        <f>0+'[1]táj.2'!O680</f>
        <v>0</v>
      </c>
      <c r="P680" s="71">
        <f>0+'[1]táj.2'!P680</f>
        <v>553</v>
      </c>
      <c r="Q680" s="11">
        <f>SUM(G680:P680)</f>
        <v>553</v>
      </c>
    </row>
    <row r="681" spans="1:17" ht="15" customHeight="1">
      <c r="A681" s="70"/>
      <c r="B681" s="70"/>
      <c r="C681" s="127"/>
      <c r="D681" s="101" t="s">
        <v>728</v>
      </c>
      <c r="E681" s="388"/>
      <c r="F681" s="143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11"/>
    </row>
    <row r="682" spans="1:17" ht="15" customHeight="1">
      <c r="A682" s="70"/>
      <c r="B682" s="70"/>
      <c r="C682" s="127"/>
      <c r="D682" s="133" t="s">
        <v>946</v>
      </c>
      <c r="E682" s="389">
        <v>1</v>
      </c>
      <c r="F682" s="11">
        <v>191102</v>
      </c>
      <c r="G682" s="71">
        <f>0+'[1]táj.2'!G682</f>
        <v>0</v>
      </c>
      <c r="H682" s="71">
        <f>0+'[1]táj.2'!H682</f>
        <v>0</v>
      </c>
      <c r="I682" s="71">
        <f>18000+'[1]táj.2'!I682</f>
        <v>18000</v>
      </c>
      <c r="J682" s="71">
        <f>0+'[1]táj.2'!J682</f>
        <v>0</v>
      </c>
      <c r="K682" s="71">
        <f>0+'[1]táj.2'!K682</f>
        <v>0</v>
      </c>
      <c r="L682" s="71">
        <f>0+'[1]táj.2'!L682</f>
        <v>0</v>
      </c>
      <c r="M682" s="71">
        <f>0+'[1]táj.2'!M682</f>
        <v>0</v>
      </c>
      <c r="N682" s="71">
        <f>0+'[1]táj.2'!N682</f>
        <v>0</v>
      </c>
      <c r="O682" s="71">
        <f>0+'[1]táj.2'!O682</f>
        <v>0</v>
      </c>
      <c r="P682" s="71">
        <f>0+'[1]táj.2'!P682</f>
        <v>0</v>
      </c>
      <c r="Q682" s="11">
        <f>SUM(G682:P682)</f>
        <v>18000</v>
      </c>
    </row>
    <row r="683" spans="1:17" ht="15" customHeight="1">
      <c r="A683" s="70"/>
      <c r="B683" s="70"/>
      <c r="C683" s="127"/>
      <c r="D683" s="133" t="s">
        <v>947</v>
      </c>
      <c r="E683" s="10">
        <v>1</v>
      </c>
      <c r="F683" s="11">
        <v>191103</v>
      </c>
      <c r="G683" s="71">
        <f>0+'[1]táj.2'!G683</f>
        <v>0</v>
      </c>
      <c r="H683" s="71">
        <f>0+'[1]táj.2'!H683</f>
        <v>0</v>
      </c>
      <c r="I683" s="71">
        <f>366807+'[1]táj.2'!I683</f>
        <v>371446</v>
      </c>
      <c r="J683" s="71">
        <f>0+'[1]táj.2'!J683</f>
        <v>0</v>
      </c>
      <c r="K683" s="71">
        <f>0+'[1]táj.2'!K683</f>
        <v>0</v>
      </c>
      <c r="L683" s="71">
        <f>0+'[1]táj.2'!L683</f>
        <v>0</v>
      </c>
      <c r="M683" s="71">
        <f>0+'[1]táj.2'!M683</f>
        <v>0</v>
      </c>
      <c r="N683" s="71">
        <f>0+'[1]táj.2'!N683</f>
        <v>0</v>
      </c>
      <c r="O683" s="71">
        <f>0+'[1]táj.2'!O683</f>
        <v>0</v>
      </c>
      <c r="P683" s="71">
        <f>0+'[1]táj.2'!P683</f>
        <v>0</v>
      </c>
      <c r="Q683" s="11">
        <f>SUM(G683:P683)</f>
        <v>371446</v>
      </c>
    </row>
    <row r="684" spans="1:17" ht="15" customHeight="1">
      <c r="A684" s="70"/>
      <c r="B684" s="70"/>
      <c r="C684" s="127"/>
      <c r="D684" s="133" t="s">
        <v>948</v>
      </c>
      <c r="E684" s="10">
        <v>1</v>
      </c>
      <c r="F684" s="11">
        <v>191105</v>
      </c>
      <c r="G684" s="71">
        <f>0+'[1]táj.2'!G684</f>
        <v>0</v>
      </c>
      <c r="H684" s="71">
        <f>0+'[1]táj.2'!H684</f>
        <v>0</v>
      </c>
      <c r="I684" s="71">
        <f>3600+'[1]táj.2'!I684</f>
        <v>3600</v>
      </c>
      <c r="J684" s="71">
        <f>0+'[1]táj.2'!J684</f>
        <v>0</v>
      </c>
      <c r="K684" s="71">
        <f>0+'[1]táj.2'!K684</f>
        <v>0</v>
      </c>
      <c r="L684" s="71">
        <f>0+'[1]táj.2'!L684</f>
        <v>0</v>
      </c>
      <c r="M684" s="71">
        <f>0+'[1]táj.2'!M684</f>
        <v>0</v>
      </c>
      <c r="N684" s="71">
        <f>0+'[1]táj.2'!N684</f>
        <v>0</v>
      </c>
      <c r="O684" s="71">
        <f>0+'[1]táj.2'!O684</f>
        <v>0</v>
      </c>
      <c r="P684" s="71">
        <f>0+'[1]táj.2'!P684</f>
        <v>0</v>
      </c>
      <c r="Q684" s="11">
        <f>SUM(G684:P684)</f>
        <v>3600</v>
      </c>
    </row>
    <row r="685" spans="1:17" ht="15" customHeight="1">
      <c r="A685" s="70"/>
      <c r="B685" s="70"/>
      <c r="C685" s="127"/>
      <c r="D685" s="133" t="s">
        <v>704</v>
      </c>
      <c r="E685" s="10">
        <v>1</v>
      </c>
      <c r="F685" s="11">
        <v>196901</v>
      </c>
      <c r="G685" s="71">
        <f>0+'[1]táj.2'!G685</f>
        <v>0</v>
      </c>
      <c r="H685" s="71">
        <f>0+'[1]táj.2'!H685</f>
        <v>0</v>
      </c>
      <c r="I685" s="71">
        <f>400+'[1]táj.2'!I685</f>
        <v>400</v>
      </c>
      <c r="J685" s="71">
        <f>0+'[1]táj.2'!J685</f>
        <v>0</v>
      </c>
      <c r="K685" s="71">
        <f>0+'[1]táj.2'!K685</f>
        <v>0</v>
      </c>
      <c r="L685" s="71">
        <f>0+'[1]táj.2'!L685</f>
        <v>0</v>
      </c>
      <c r="M685" s="71">
        <f>0+'[1]táj.2'!M685</f>
        <v>0</v>
      </c>
      <c r="N685" s="71">
        <f>4600+'[1]táj.2'!N685</f>
        <v>4600</v>
      </c>
      <c r="O685" s="71">
        <f>0+'[1]táj.2'!O685</f>
        <v>0</v>
      </c>
      <c r="P685" s="71">
        <f>0+'[1]táj.2'!P685</f>
        <v>0</v>
      </c>
      <c r="Q685" s="11">
        <f>SUM(G685:P685)</f>
        <v>5000</v>
      </c>
    </row>
    <row r="686" spans="1:17" ht="15" customHeight="1">
      <c r="A686" s="70"/>
      <c r="B686" s="70"/>
      <c r="C686" s="127"/>
      <c r="D686" s="133" t="s">
        <v>816</v>
      </c>
      <c r="E686" s="10"/>
      <c r="F686" s="1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11"/>
    </row>
    <row r="687" spans="1:17" ht="15" customHeight="1">
      <c r="A687" s="70"/>
      <c r="B687" s="70"/>
      <c r="C687" s="127"/>
      <c r="D687" s="133" t="s">
        <v>896</v>
      </c>
      <c r="E687" s="10">
        <v>1</v>
      </c>
      <c r="F687" s="11">
        <v>191104</v>
      </c>
      <c r="G687" s="71">
        <f>0+'[1]táj.2'!G687</f>
        <v>0</v>
      </c>
      <c r="H687" s="71">
        <f>0+'[1]táj.2'!H687</f>
        <v>0</v>
      </c>
      <c r="I687" s="71">
        <f>4840+'[1]táj.2'!I687</f>
        <v>4840</v>
      </c>
      <c r="J687" s="71">
        <f>0+'[1]táj.2'!J687</f>
        <v>0</v>
      </c>
      <c r="K687" s="71">
        <f>0+'[1]táj.2'!K687</f>
        <v>0</v>
      </c>
      <c r="L687" s="71">
        <f>0+'[1]táj.2'!L687</f>
        <v>0</v>
      </c>
      <c r="M687" s="71">
        <f>0+'[1]táj.2'!M687</f>
        <v>0</v>
      </c>
      <c r="N687" s="71">
        <f>0+'[1]táj.2'!N687</f>
        <v>0</v>
      </c>
      <c r="O687" s="71">
        <f>0+'[1]táj.2'!O687</f>
        <v>0</v>
      </c>
      <c r="P687" s="71">
        <f>0+'[1]táj.2'!P687</f>
        <v>0</v>
      </c>
      <c r="Q687" s="11">
        <f>SUM(G687:P687)</f>
        <v>4840</v>
      </c>
    </row>
    <row r="688" spans="1:17" ht="13.5" customHeight="1">
      <c r="A688" s="70"/>
      <c r="B688" s="70"/>
      <c r="C688" s="127"/>
      <c r="D688" s="273" t="s">
        <v>797</v>
      </c>
      <c r="E688" s="10"/>
      <c r="F688" s="1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11"/>
    </row>
    <row r="689" spans="1:17" ht="13.5" customHeight="1">
      <c r="A689" s="70"/>
      <c r="B689" s="70"/>
      <c r="C689" s="127"/>
      <c r="D689" s="133" t="s">
        <v>647</v>
      </c>
      <c r="E689" s="10">
        <v>2</v>
      </c>
      <c r="F689" s="11">
        <v>191109</v>
      </c>
      <c r="G689" s="71">
        <f>0+'[1]táj.2'!G689</f>
        <v>0</v>
      </c>
      <c r="H689" s="71">
        <f>0+'[1]táj.2'!H689</f>
        <v>0</v>
      </c>
      <c r="I689" s="71">
        <f>0+'[1]táj.2'!I689</f>
        <v>0</v>
      </c>
      <c r="J689" s="71">
        <f>0+'[1]táj.2'!J689</f>
        <v>0</v>
      </c>
      <c r="K689" s="71">
        <f>2500+'[1]táj.2'!K689</f>
        <v>2500</v>
      </c>
      <c r="L689" s="71">
        <f>0+'[1]táj.2'!L689</f>
        <v>0</v>
      </c>
      <c r="M689" s="71">
        <f>0+'[1]táj.2'!M689</f>
        <v>0</v>
      </c>
      <c r="N689" s="71">
        <f>0+'[1]táj.2'!N689</f>
        <v>0</v>
      </c>
      <c r="O689" s="71">
        <f>0+'[1]táj.2'!O689</f>
        <v>0</v>
      </c>
      <c r="P689" s="71">
        <f>0+'[1]táj.2'!P689</f>
        <v>0</v>
      </c>
      <c r="Q689" s="11">
        <f>SUM(G689:P689)</f>
        <v>2500</v>
      </c>
    </row>
    <row r="690" spans="1:17" ht="13.5" customHeight="1">
      <c r="A690" s="70"/>
      <c r="B690" s="70"/>
      <c r="C690" s="127"/>
      <c r="D690" s="133" t="s">
        <v>798</v>
      </c>
      <c r="E690" s="10"/>
      <c r="F690" s="1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11"/>
    </row>
    <row r="691" spans="1:17" ht="13.5" customHeight="1">
      <c r="A691" s="70"/>
      <c r="B691" s="70"/>
      <c r="C691" s="127"/>
      <c r="D691" s="133" t="s">
        <v>952</v>
      </c>
      <c r="E691" s="10">
        <v>2</v>
      </c>
      <c r="F691" s="11">
        <v>191401</v>
      </c>
      <c r="G691" s="71">
        <f>0+'[1]táj.2'!G691</f>
        <v>0</v>
      </c>
      <c r="H691" s="71">
        <f>0+'[1]táj.2'!H691</f>
        <v>0</v>
      </c>
      <c r="I691" s="71">
        <f>0+'[1]táj.2'!I691</f>
        <v>0</v>
      </c>
      <c r="J691" s="71">
        <f>0+'[1]táj.2'!J691</f>
        <v>0</v>
      </c>
      <c r="K691" s="71">
        <f>1500+'[1]táj.2'!K691</f>
        <v>1500</v>
      </c>
      <c r="L691" s="71">
        <f>0+'[1]táj.2'!L691</f>
        <v>0</v>
      </c>
      <c r="M691" s="71">
        <f>0+'[1]táj.2'!M691</f>
        <v>0</v>
      </c>
      <c r="N691" s="71">
        <f>0+'[1]táj.2'!N691</f>
        <v>0</v>
      </c>
      <c r="O691" s="71">
        <f>0+'[1]táj.2'!O691</f>
        <v>0</v>
      </c>
      <c r="P691" s="71">
        <f>0+'[1]táj.2'!P691</f>
        <v>0</v>
      </c>
      <c r="Q691" s="11">
        <f>SUM(G691:P691)</f>
        <v>1500</v>
      </c>
    </row>
    <row r="692" spans="1:17" ht="15" customHeight="1">
      <c r="A692" s="70"/>
      <c r="B692" s="70"/>
      <c r="C692" s="127"/>
      <c r="D692" s="101" t="s">
        <v>728</v>
      </c>
      <c r="E692" s="388"/>
      <c r="F692" s="143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11"/>
    </row>
    <row r="693" spans="1:17" ht="24" customHeight="1">
      <c r="A693" s="70"/>
      <c r="B693" s="70"/>
      <c r="C693" s="127"/>
      <c r="D693" s="114" t="s">
        <v>603</v>
      </c>
      <c r="E693" s="389">
        <v>1</v>
      </c>
      <c r="F693" s="11">
        <v>191905</v>
      </c>
      <c r="G693" s="71">
        <f>0+'[1]táj.2'!G693</f>
        <v>0</v>
      </c>
      <c r="H693" s="71">
        <f>0+'[1]táj.2'!H693</f>
        <v>0</v>
      </c>
      <c r="I693" s="71">
        <f>0+'[1]táj.2'!I693</f>
        <v>0</v>
      </c>
      <c r="J693" s="71">
        <f>0+'[1]táj.2'!J693</f>
        <v>0</v>
      </c>
      <c r="K693" s="71">
        <f>368310+'[1]táj.2'!K693</f>
        <v>382241</v>
      </c>
      <c r="L693" s="71">
        <f>0+'[1]táj.2'!L693</f>
        <v>0</v>
      </c>
      <c r="M693" s="71">
        <f>0+'[1]táj.2'!M693</f>
        <v>0</v>
      </c>
      <c r="N693" s="71">
        <f>0+'[1]táj.2'!N693</f>
        <v>0</v>
      </c>
      <c r="O693" s="71">
        <f>0+'[1]táj.2'!O693</f>
        <v>0</v>
      </c>
      <c r="P693" s="71">
        <f>0+'[1]táj.2'!P693</f>
        <v>0</v>
      </c>
      <c r="Q693" s="11">
        <f>SUM(G693:P693)</f>
        <v>382241</v>
      </c>
    </row>
    <row r="694" spans="1:17" ht="15" customHeight="1">
      <c r="A694" s="70"/>
      <c r="B694" s="70"/>
      <c r="C694" s="127"/>
      <c r="D694" s="101" t="s">
        <v>728</v>
      </c>
      <c r="E694" s="388"/>
      <c r="F694" s="143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11"/>
    </row>
    <row r="695" spans="1:17" ht="13.5" customHeight="1">
      <c r="A695" s="70"/>
      <c r="B695" s="70"/>
      <c r="C695" s="127"/>
      <c r="D695" s="133" t="s">
        <v>1212</v>
      </c>
      <c r="E695" s="10">
        <v>1</v>
      </c>
      <c r="F695" s="11">
        <v>191121</v>
      </c>
      <c r="G695" s="71">
        <f>0+'[1]táj.2'!G695</f>
        <v>0</v>
      </c>
      <c r="H695" s="71">
        <f>0+'[1]táj.2'!H695</f>
        <v>0</v>
      </c>
      <c r="I695" s="71">
        <f>12670+'[1]táj.2'!I695</f>
        <v>12670</v>
      </c>
      <c r="J695" s="71">
        <f>0+'[1]táj.2'!J695</f>
        <v>0</v>
      </c>
      <c r="K695" s="71">
        <f>0+'[1]táj.2'!K695</f>
        <v>0</v>
      </c>
      <c r="L695" s="71">
        <f>0+'[1]táj.2'!L695</f>
        <v>0</v>
      </c>
      <c r="M695" s="71">
        <f>0+'[1]táj.2'!M695</f>
        <v>0</v>
      </c>
      <c r="N695" s="71">
        <f>0+'[1]táj.2'!N695</f>
        <v>0</v>
      </c>
      <c r="O695" s="71">
        <f>0+'[1]táj.2'!O695</f>
        <v>0</v>
      </c>
      <c r="P695" s="71">
        <f>0+'[1]táj.2'!P695</f>
        <v>0</v>
      </c>
      <c r="Q695" s="11">
        <f>SUM(G695:P695)</f>
        <v>12670</v>
      </c>
    </row>
    <row r="696" spans="1:17" ht="24.75" customHeight="1">
      <c r="A696" s="70"/>
      <c r="B696" s="70"/>
      <c r="C696" s="127"/>
      <c r="D696" s="95" t="s">
        <v>801</v>
      </c>
      <c r="E696" s="388"/>
      <c r="F696" s="143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11"/>
    </row>
    <row r="697" spans="1:17" ht="24.75" customHeight="1">
      <c r="A697" s="70"/>
      <c r="B697" s="70"/>
      <c r="C697" s="127"/>
      <c r="D697" s="95" t="s">
        <v>953</v>
      </c>
      <c r="E697" s="388">
        <v>1</v>
      </c>
      <c r="F697" s="29">
        <v>191152</v>
      </c>
      <c r="G697" s="71">
        <f>0+'[1]táj.2'!G697</f>
        <v>0</v>
      </c>
      <c r="H697" s="71">
        <f>0+'[1]táj.2'!H697</f>
        <v>0</v>
      </c>
      <c r="I697" s="71">
        <f>23908+'[1]táj.2'!I697</f>
        <v>23908</v>
      </c>
      <c r="J697" s="71">
        <f>0+'[1]táj.2'!J697</f>
        <v>0</v>
      </c>
      <c r="K697" s="71">
        <f>0+'[1]táj.2'!K697</f>
        <v>0</v>
      </c>
      <c r="L697" s="71">
        <f>0+'[1]táj.2'!L697</f>
        <v>0</v>
      </c>
      <c r="M697" s="71">
        <f>0+'[1]táj.2'!M697</f>
        <v>0</v>
      </c>
      <c r="N697" s="71">
        <f>0+'[1]táj.2'!N697</f>
        <v>0</v>
      </c>
      <c r="O697" s="71">
        <f>74052+'[1]táj.2'!O697</f>
        <v>74052</v>
      </c>
      <c r="P697" s="71">
        <f>0+'[1]táj.2'!P697</f>
        <v>0</v>
      </c>
      <c r="Q697" s="11">
        <f>SUM(G697:P697)</f>
        <v>97960</v>
      </c>
    </row>
    <row r="698" spans="1:17" ht="25.5">
      <c r="A698" s="70"/>
      <c r="B698" s="70"/>
      <c r="C698" s="127"/>
      <c r="D698" s="576" t="s">
        <v>301</v>
      </c>
      <c r="E698" s="388">
        <v>2</v>
      </c>
      <c r="F698" s="29">
        <v>196919</v>
      </c>
      <c r="G698" s="71">
        <f>0+'[1]táj.2'!G698</f>
        <v>0</v>
      </c>
      <c r="H698" s="71">
        <f>0+'[1]táj.2'!H698</f>
        <v>0</v>
      </c>
      <c r="I698" s="71">
        <f>0+'[1]táj.2'!I698</f>
        <v>5203</v>
      </c>
      <c r="J698" s="71">
        <f>0+'[1]táj.2'!J698</f>
        <v>0</v>
      </c>
      <c r="K698" s="71">
        <f>0+'[1]táj.2'!K698</f>
        <v>0</v>
      </c>
      <c r="L698" s="71">
        <f>0+'[1]táj.2'!L698</f>
        <v>0</v>
      </c>
      <c r="M698" s="71">
        <f>0+'[1]táj.2'!M698</f>
        <v>0</v>
      </c>
      <c r="N698" s="71">
        <f>0+'[1]táj.2'!N698</f>
        <v>0</v>
      </c>
      <c r="O698" s="71">
        <f>0+'[1]táj.2'!O698</f>
        <v>0</v>
      </c>
      <c r="P698" s="71">
        <f>2000000+'[1]táj.2'!P698</f>
        <v>2800000</v>
      </c>
      <c r="Q698" s="11">
        <f>SUM(G698:P698)</f>
        <v>2805203</v>
      </c>
    </row>
    <row r="699" spans="1:17" ht="15" customHeight="1">
      <c r="A699" s="70"/>
      <c r="B699" s="70"/>
      <c r="C699" s="127"/>
      <c r="D699" s="133" t="s">
        <v>793</v>
      </c>
      <c r="E699" s="10"/>
      <c r="F699" s="787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11"/>
    </row>
    <row r="700" spans="1:17" ht="14.25" customHeight="1">
      <c r="A700" s="70"/>
      <c r="B700" s="70"/>
      <c r="C700" s="127"/>
      <c r="D700" s="133" t="s">
        <v>897</v>
      </c>
      <c r="E700" s="10">
        <v>2</v>
      </c>
      <c r="F700" s="788" t="s">
        <v>412</v>
      </c>
      <c r="G700" s="71">
        <f>0+'[1]táj.2'!G700</f>
        <v>0</v>
      </c>
      <c r="H700" s="71">
        <f>0+'[1]táj.2'!H700</f>
        <v>0</v>
      </c>
      <c r="I700" s="71">
        <f>0+'[1]táj.2'!I700</f>
        <v>0</v>
      </c>
      <c r="J700" s="71">
        <f>0+'[1]táj.2'!J700</f>
        <v>0</v>
      </c>
      <c r="K700" s="71">
        <f>4470+'[1]táj.2'!K700</f>
        <v>4470</v>
      </c>
      <c r="L700" s="71">
        <f>0+'[1]táj.2'!L700</f>
        <v>0</v>
      </c>
      <c r="M700" s="71">
        <f>0+'[1]táj.2'!M700</f>
        <v>0</v>
      </c>
      <c r="N700" s="71">
        <f>0+'[1]táj.2'!N700</f>
        <v>0</v>
      </c>
      <c r="O700" s="71">
        <f>0+'[1]táj.2'!O700</f>
        <v>0</v>
      </c>
      <c r="P700" s="71">
        <f>0+'[1]táj.2'!P700</f>
        <v>0</v>
      </c>
      <c r="Q700" s="11">
        <f>SUM(G700:P700)</f>
        <v>4470</v>
      </c>
    </row>
    <row r="701" spans="1:17" ht="13.5" customHeight="1">
      <c r="A701" s="70"/>
      <c r="B701" s="70"/>
      <c r="C701" s="127"/>
      <c r="D701" s="262" t="s">
        <v>748</v>
      </c>
      <c r="E701" s="389"/>
      <c r="F701" s="142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11"/>
    </row>
    <row r="702" spans="1:17" ht="13.5" customHeight="1">
      <c r="A702" s="70"/>
      <c r="B702" s="70"/>
      <c r="C702" s="127"/>
      <c r="D702" s="133" t="s">
        <v>1011</v>
      </c>
      <c r="E702" s="10">
        <v>2</v>
      </c>
      <c r="F702" s="11">
        <v>191801</v>
      </c>
      <c r="G702" s="71">
        <f>0+'[1]táj.2'!G702</f>
        <v>0</v>
      </c>
      <c r="H702" s="71">
        <f>0+'[1]táj.2'!H702</f>
        <v>0</v>
      </c>
      <c r="I702" s="71">
        <f>0+'[1]táj.2'!I702</f>
        <v>0</v>
      </c>
      <c r="J702" s="71">
        <f>0+'[1]táj.2'!J702</f>
        <v>0</v>
      </c>
      <c r="K702" s="71">
        <f>40000+'[1]táj.2'!K702</f>
        <v>40000</v>
      </c>
      <c r="L702" s="71">
        <f>0+'[1]táj.2'!L702</f>
        <v>0</v>
      </c>
      <c r="M702" s="71">
        <f>0+'[1]táj.2'!M702</f>
        <v>0</v>
      </c>
      <c r="N702" s="71">
        <f>0+'[1]táj.2'!N702</f>
        <v>0</v>
      </c>
      <c r="O702" s="71">
        <f>0+'[1]táj.2'!O702</f>
        <v>0</v>
      </c>
      <c r="P702" s="71">
        <f>0+'[1]táj.2'!P702</f>
        <v>0</v>
      </c>
      <c r="Q702" s="11">
        <f>SUM(G702:P702)</f>
        <v>40000</v>
      </c>
    </row>
    <row r="703" spans="1:17" ht="13.5" customHeight="1">
      <c r="A703" s="65"/>
      <c r="B703" s="65"/>
      <c r="C703" s="126"/>
      <c r="D703" s="104" t="s">
        <v>1012</v>
      </c>
      <c r="E703" s="385"/>
      <c r="F703" s="69"/>
      <c r="G703" s="69">
        <f aca="true" t="shared" si="40" ref="G703:Q703">SUM(G676:G702)</f>
        <v>0</v>
      </c>
      <c r="H703" s="69">
        <f t="shared" si="40"/>
        <v>0</v>
      </c>
      <c r="I703" s="69">
        <f t="shared" si="40"/>
        <v>440067</v>
      </c>
      <c r="J703" s="69">
        <f t="shared" si="40"/>
        <v>0</v>
      </c>
      <c r="K703" s="69">
        <f t="shared" si="40"/>
        <v>436711</v>
      </c>
      <c r="L703" s="69">
        <f t="shared" si="40"/>
        <v>0</v>
      </c>
      <c r="M703" s="69">
        <f t="shared" si="40"/>
        <v>0</v>
      </c>
      <c r="N703" s="69">
        <f t="shared" si="40"/>
        <v>4600</v>
      </c>
      <c r="O703" s="69">
        <f t="shared" si="40"/>
        <v>74052</v>
      </c>
      <c r="P703" s="69">
        <f t="shared" si="40"/>
        <v>2889014</v>
      </c>
      <c r="Q703" s="69">
        <f t="shared" si="40"/>
        <v>3844444</v>
      </c>
    </row>
    <row r="704" spans="1:17" ht="13.5" customHeight="1">
      <c r="A704" s="74"/>
      <c r="B704" s="74"/>
      <c r="C704" s="128"/>
      <c r="D704" s="278" t="s">
        <v>1225</v>
      </c>
      <c r="E704" s="386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</row>
    <row r="705" spans="1:17" ht="13.5" customHeight="1">
      <c r="A705" s="65">
        <v>1</v>
      </c>
      <c r="B705" s="65">
        <v>20</v>
      </c>
      <c r="C705" s="126"/>
      <c r="D705" s="104" t="s">
        <v>573</v>
      </c>
      <c r="E705" s="385"/>
      <c r="F705" s="69"/>
      <c r="G705" s="69">
        <f aca="true" t="shared" si="41" ref="G705:Q705">SUM(G703:G704)</f>
        <v>0</v>
      </c>
      <c r="H705" s="69">
        <f t="shared" si="41"/>
        <v>0</v>
      </c>
      <c r="I705" s="69">
        <f t="shared" si="41"/>
        <v>440067</v>
      </c>
      <c r="J705" s="69">
        <f t="shared" si="41"/>
        <v>0</v>
      </c>
      <c r="K705" s="69">
        <f t="shared" si="41"/>
        <v>436711</v>
      </c>
      <c r="L705" s="69">
        <f t="shared" si="41"/>
        <v>0</v>
      </c>
      <c r="M705" s="69">
        <f t="shared" si="41"/>
        <v>0</v>
      </c>
      <c r="N705" s="69">
        <f t="shared" si="41"/>
        <v>4600</v>
      </c>
      <c r="O705" s="69">
        <f t="shared" si="41"/>
        <v>74052</v>
      </c>
      <c r="P705" s="69">
        <f t="shared" si="41"/>
        <v>2889014</v>
      </c>
      <c r="Q705" s="69">
        <f t="shared" si="41"/>
        <v>3844444</v>
      </c>
    </row>
    <row r="706" spans="1:17" ht="13.5" customHeight="1">
      <c r="A706" s="74"/>
      <c r="B706" s="74"/>
      <c r="C706" s="128"/>
      <c r="D706" s="136" t="s">
        <v>192</v>
      </c>
      <c r="E706" s="386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</row>
    <row r="707" spans="1:17" ht="29.25" customHeight="1">
      <c r="A707" s="74"/>
      <c r="B707" s="74"/>
      <c r="C707" s="128"/>
      <c r="D707" s="789" t="s">
        <v>728</v>
      </c>
      <c r="E707" s="386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</row>
    <row r="708" spans="1:17" ht="13.5" customHeight="1">
      <c r="A708" s="65"/>
      <c r="B708" s="65"/>
      <c r="C708" s="126"/>
      <c r="D708" s="104" t="s">
        <v>1036</v>
      </c>
      <c r="E708" s="385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</row>
    <row r="709" spans="1:17" ht="13.5" customHeight="1">
      <c r="A709" s="75">
        <v>1</v>
      </c>
      <c r="B709" s="75" t="s">
        <v>1013</v>
      </c>
      <c r="C709" s="129"/>
      <c r="D709" s="274" t="s">
        <v>213</v>
      </c>
      <c r="E709" s="391"/>
      <c r="F709" s="76"/>
      <c r="G709" s="76"/>
      <c r="H709" s="6"/>
      <c r="I709" s="6"/>
      <c r="J709" s="6"/>
      <c r="K709" s="6"/>
      <c r="L709" s="6"/>
      <c r="M709" s="11"/>
      <c r="N709" s="11"/>
      <c r="O709" s="76"/>
      <c r="P709" s="76"/>
      <c r="Q709" s="76"/>
    </row>
    <row r="710" spans="1:17" ht="13.5" customHeight="1">
      <c r="A710" s="75"/>
      <c r="B710" s="75"/>
      <c r="C710" s="129"/>
      <c r="D710" s="101" t="s">
        <v>728</v>
      </c>
      <c r="E710" s="387"/>
      <c r="F710" s="142"/>
      <c r="G710" s="76"/>
      <c r="H710" s="6"/>
      <c r="I710" s="6"/>
      <c r="J710" s="6"/>
      <c r="K710" s="6"/>
      <c r="L710" s="6"/>
      <c r="M710" s="11"/>
      <c r="N710" s="11"/>
      <c r="O710" s="76"/>
      <c r="P710" s="76"/>
      <c r="Q710" s="76"/>
    </row>
    <row r="711" spans="1:17" ht="13.5" customHeight="1">
      <c r="A711" s="75"/>
      <c r="B711" s="75"/>
      <c r="C711" s="129"/>
      <c r="D711" s="273" t="s">
        <v>331</v>
      </c>
      <c r="E711" s="78">
        <v>2</v>
      </c>
      <c r="F711" s="77">
        <v>221901</v>
      </c>
      <c r="G711" s="100">
        <f>7000+'[1]táj.2'!G711</f>
        <v>8638</v>
      </c>
      <c r="H711" s="100">
        <f>3500+'[1]táj.2'!H711</f>
        <v>3967</v>
      </c>
      <c r="I711" s="100">
        <f>20690+'[1]táj.2'!I711</f>
        <v>30187</v>
      </c>
      <c r="J711" s="100">
        <f>0+'[1]táj.2'!J711</f>
        <v>0</v>
      </c>
      <c r="K711" s="100">
        <f>1000+'[1]táj.2'!K711</f>
        <v>1000</v>
      </c>
      <c r="L711" s="100">
        <f>0+'[1]táj.2'!L711</f>
        <v>0</v>
      </c>
      <c r="M711" s="100">
        <f>0+'[1]táj.2'!M711</f>
        <v>0</v>
      </c>
      <c r="N711" s="100">
        <f>0+'[1]táj.2'!N711</f>
        <v>0</v>
      </c>
      <c r="O711" s="100">
        <f>0+'[1]táj.2'!O711</f>
        <v>0</v>
      </c>
      <c r="P711" s="100">
        <f>0+'[1]táj.2'!P711</f>
        <v>0</v>
      </c>
      <c r="Q711" s="77">
        <f aca="true" t="shared" si="42" ref="Q711:Q720">SUM(G711:P711)</f>
        <v>43792</v>
      </c>
    </row>
    <row r="712" spans="1:17" ht="13.5" customHeight="1">
      <c r="A712" s="75"/>
      <c r="B712" s="75"/>
      <c r="C712" s="129"/>
      <c r="D712" s="262" t="s">
        <v>304</v>
      </c>
      <c r="E712" s="783">
        <v>1</v>
      </c>
      <c r="F712" s="11">
        <v>221912</v>
      </c>
      <c r="G712" s="100">
        <f>50+'[1]táj.2'!G712</f>
        <v>50</v>
      </c>
      <c r="H712" s="100">
        <f>25+'[1]táj.2'!H712</f>
        <v>25</v>
      </c>
      <c r="I712" s="100">
        <f>2915+'[1]táj.2'!I712</f>
        <v>2953</v>
      </c>
      <c r="J712" s="100">
        <f>0+'[1]táj.2'!J712</f>
        <v>0</v>
      </c>
      <c r="K712" s="100">
        <f>3250+'[1]táj.2'!K712</f>
        <v>3250</v>
      </c>
      <c r="L712" s="100">
        <f>648+'[1]táj.2'!L712</f>
        <v>648</v>
      </c>
      <c r="M712" s="100">
        <f>0+'[1]táj.2'!M712</f>
        <v>0</v>
      </c>
      <c r="N712" s="100">
        <f>0+'[1]táj.2'!N712</f>
        <v>0</v>
      </c>
      <c r="O712" s="100">
        <f>0+'[1]táj.2'!O712</f>
        <v>0</v>
      </c>
      <c r="P712" s="100">
        <f>0+'[1]táj.2'!P712</f>
        <v>0</v>
      </c>
      <c r="Q712" s="77">
        <f t="shared" si="42"/>
        <v>6926</v>
      </c>
    </row>
    <row r="713" spans="1:17" ht="13.5" customHeight="1">
      <c r="A713" s="75"/>
      <c r="B713" s="75"/>
      <c r="C713" s="129"/>
      <c r="D713" s="262" t="s">
        <v>1259</v>
      </c>
      <c r="E713" s="783">
        <v>2</v>
      </c>
      <c r="F713" s="11">
        <v>221916</v>
      </c>
      <c r="G713" s="100">
        <f>0+'[1]táj.2'!G713</f>
        <v>0</v>
      </c>
      <c r="H713" s="100">
        <f>0+'[1]táj.2'!H713</f>
        <v>0</v>
      </c>
      <c r="I713" s="100">
        <f>0+'[1]táj.2'!I713</f>
        <v>0</v>
      </c>
      <c r="J713" s="100">
        <f>0+'[1]táj.2'!J713</f>
        <v>0</v>
      </c>
      <c r="K713" s="100">
        <f>35000+'[1]táj.2'!K713</f>
        <v>35000</v>
      </c>
      <c r="L713" s="100">
        <f>0+'[1]táj.2'!L713</f>
        <v>0</v>
      </c>
      <c r="M713" s="100">
        <f>0+'[1]táj.2'!M713</f>
        <v>0</v>
      </c>
      <c r="N713" s="100">
        <f>0+'[1]táj.2'!N713</f>
        <v>0</v>
      </c>
      <c r="O713" s="100">
        <f>0+'[1]táj.2'!O713</f>
        <v>0</v>
      </c>
      <c r="P713" s="100">
        <f>0+'[1]táj.2'!P713</f>
        <v>0</v>
      </c>
      <c r="Q713" s="77">
        <f t="shared" si="42"/>
        <v>35000</v>
      </c>
    </row>
    <row r="714" spans="1:17" ht="13.5" customHeight="1">
      <c r="A714" s="75"/>
      <c r="B714" s="75"/>
      <c r="C714" s="129"/>
      <c r="D714" s="133" t="s">
        <v>1157</v>
      </c>
      <c r="E714" s="783">
        <v>2</v>
      </c>
      <c r="F714" s="11">
        <v>221904</v>
      </c>
      <c r="G714" s="100">
        <f>0+'[1]táj.2'!G714</f>
        <v>0</v>
      </c>
      <c r="H714" s="100">
        <f>0+'[1]táj.2'!H714</f>
        <v>0</v>
      </c>
      <c r="I714" s="100">
        <f>2000+'[1]táj.2'!I714</f>
        <v>2000</v>
      </c>
      <c r="J714" s="100">
        <f>0+'[1]táj.2'!J714</f>
        <v>0</v>
      </c>
      <c r="K714" s="100">
        <f>0+'[1]táj.2'!K714</f>
        <v>0</v>
      </c>
      <c r="L714" s="100">
        <f>0+'[1]táj.2'!L714</f>
        <v>0</v>
      </c>
      <c r="M714" s="100">
        <f>0+'[1]táj.2'!M714</f>
        <v>0</v>
      </c>
      <c r="N714" s="100">
        <f>0+'[1]táj.2'!N714</f>
        <v>0</v>
      </c>
      <c r="O714" s="100">
        <f>0+'[1]táj.2'!O714</f>
        <v>0</v>
      </c>
      <c r="P714" s="100">
        <f>0+'[1]táj.2'!P714</f>
        <v>0</v>
      </c>
      <c r="Q714" s="77">
        <f t="shared" si="42"/>
        <v>2000</v>
      </c>
    </row>
    <row r="715" spans="1:17" ht="13.5" customHeight="1">
      <c r="A715" s="75"/>
      <c r="B715" s="75"/>
      <c r="C715" s="129"/>
      <c r="D715" s="133" t="s">
        <v>332</v>
      </c>
      <c r="E715" s="10">
        <v>2</v>
      </c>
      <c r="F715" s="11">
        <v>221922</v>
      </c>
      <c r="G715" s="100">
        <f>0+'[1]táj.2'!G715</f>
        <v>0</v>
      </c>
      <c r="H715" s="100">
        <f>0+'[1]táj.2'!H715</f>
        <v>0</v>
      </c>
      <c r="I715" s="100">
        <f>7000+'[1]táj.2'!I715</f>
        <v>7000</v>
      </c>
      <c r="J715" s="100">
        <f>0+'[1]táj.2'!J715</f>
        <v>0</v>
      </c>
      <c r="K715" s="100">
        <f>0+'[1]táj.2'!K715</f>
        <v>0</v>
      </c>
      <c r="L715" s="100">
        <f>0+'[1]táj.2'!L715</f>
        <v>0</v>
      </c>
      <c r="M715" s="100">
        <f>0+'[1]táj.2'!M715</f>
        <v>0</v>
      </c>
      <c r="N715" s="100">
        <f>0+'[1]táj.2'!N715</f>
        <v>0</v>
      </c>
      <c r="O715" s="100">
        <f>0+'[1]táj.2'!O715</f>
        <v>0</v>
      </c>
      <c r="P715" s="100">
        <f>0+'[1]táj.2'!P715</f>
        <v>0</v>
      </c>
      <c r="Q715" s="77">
        <f t="shared" si="42"/>
        <v>7000</v>
      </c>
    </row>
    <row r="716" spans="1:17" ht="13.5" customHeight="1">
      <c r="A716" s="75"/>
      <c r="B716" s="75"/>
      <c r="C716" s="129"/>
      <c r="D716" s="133" t="s">
        <v>333</v>
      </c>
      <c r="E716" s="389">
        <v>2</v>
      </c>
      <c r="F716" s="11">
        <v>191139</v>
      </c>
      <c r="G716" s="100">
        <f>0+'[1]táj.2'!G716</f>
        <v>0</v>
      </c>
      <c r="H716" s="100">
        <f>0+'[1]táj.2'!H716</f>
        <v>0</v>
      </c>
      <c r="I716" s="100">
        <f>3500+'[1]táj.2'!I716</f>
        <v>3200</v>
      </c>
      <c r="J716" s="100">
        <f>0+'[1]táj.2'!J716</f>
        <v>0</v>
      </c>
      <c r="K716" s="100">
        <f>0+'[1]táj.2'!K716</f>
        <v>300</v>
      </c>
      <c r="L716" s="100">
        <f>0+'[1]táj.2'!L716</f>
        <v>0</v>
      </c>
      <c r="M716" s="100">
        <f>0+'[1]táj.2'!M716</f>
        <v>0</v>
      </c>
      <c r="N716" s="100">
        <f>0+'[1]táj.2'!N716</f>
        <v>0</v>
      </c>
      <c r="O716" s="100">
        <f>0+'[1]táj.2'!O716</f>
        <v>0</v>
      </c>
      <c r="P716" s="100">
        <f>0+'[1]táj.2'!P716</f>
        <v>0</v>
      </c>
      <c r="Q716" s="77">
        <f t="shared" si="42"/>
        <v>3500</v>
      </c>
    </row>
    <row r="717" spans="1:17" ht="13.5" customHeight="1">
      <c r="A717" s="75"/>
      <c r="B717" s="75"/>
      <c r="C717" s="129"/>
      <c r="D717" s="133" t="s">
        <v>169</v>
      </c>
      <c r="E717" s="389">
        <v>2</v>
      </c>
      <c r="F717" s="11">
        <v>221939</v>
      </c>
      <c r="G717" s="100">
        <f>0+'[1]táj.2'!G717</f>
        <v>0</v>
      </c>
      <c r="H717" s="100">
        <f>0+'[1]táj.2'!H717</f>
        <v>0</v>
      </c>
      <c r="I717" s="100">
        <f>600+'[1]táj.2'!I717</f>
        <v>600</v>
      </c>
      <c r="J717" s="100">
        <f>0+'[1]táj.2'!J717</f>
        <v>0</v>
      </c>
      <c r="K717" s="100">
        <f>1200+'[1]táj.2'!K717</f>
        <v>1200</v>
      </c>
      <c r="L717" s="100">
        <f>0+'[1]táj.2'!L717</f>
        <v>0</v>
      </c>
      <c r="M717" s="100">
        <f>0+'[1]táj.2'!M717</f>
        <v>0</v>
      </c>
      <c r="N717" s="100">
        <f>0+'[1]táj.2'!N717</f>
        <v>0</v>
      </c>
      <c r="O717" s="100">
        <f>0+'[1]táj.2'!O717</f>
        <v>0</v>
      </c>
      <c r="P717" s="100">
        <f>0+'[1]táj.2'!P717</f>
        <v>0</v>
      </c>
      <c r="Q717" s="77">
        <f t="shared" si="42"/>
        <v>1800</v>
      </c>
    </row>
    <row r="718" spans="1:17" ht="13.5" customHeight="1">
      <c r="A718" s="75"/>
      <c r="B718" s="75"/>
      <c r="C718" s="129"/>
      <c r="D718" s="133" t="s">
        <v>1211</v>
      </c>
      <c r="E718" s="389">
        <v>2</v>
      </c>
      <c r="F718" s="11">
        <v>221927</v>
      </c>
      <c r="G718" s="100">
        <f>0+'[1]táj.2'!G718</f>
        <v>0</v>
      </c>
      <c r="H718" s="100">
        <f>0+'[1]táj.2'!H718</f>
        <v>0</v>
      </c>
      <c r="I718" s="100">
        <f>0+'[1]táj.2'!I718</f>
        <v>0</v>
      </c>
      <c r="J718" s="100">
        <f>0+'[1]táj.2'!J718</f>
        <v>0</v>
      </c>
      <c r="K718" s="100">
        <f>2000+'[1]táj.2'!K718</f>
        <v>2000</v>
      </c>
      <c r="L718" s="100">
        <f>0+'[1]táj.2'!L718</f>
        <v>0</v>
      </c>
      <c r="M718" s="100">
        <f>0+'[1]táj.2'!M718</f>
        <v>0</v>
      </c>
      <c r="N718" s="100">
        <f>0+'[1]táj.2'!N718</f>
        <v>0</v>
      </c>
      <c r="O718" s="100">
        <f>0+'[1]táj.2'!O718</f>
        <v>0</v>
      </c>
      <c r="P718" s="100">
        <f>0+'[1]táj.2'!P718</f>
        <v>0</v>
      </c>
      <c r="Q718" s="77">
        <f t="shared" si="42"/>
        <v>2000</v>
      </c>
    </row>
    <row r="719" spans="1:17" ht="13.5" customHeight="1">
      <c r="A719" s="75"/>
      <c r="B719" s="75"/>
      <c r="C719" s="129"/>
      <c r="D719" s="271" t="s">
        <v>1158</v>
      </c>
      <c r="E719" s="389">
        <v>2</v>
      </c>
      <c r="F719" s="11">
        <v>221935</v>
      </c>
      <c r="G719" s="100">
        <f>0+'[1]táj.2'!G719</f>
        <v>0</v>
      </c>
      <c r="H719" s="100">
        <f>0+'[1]táj.2'!H719</f>
        <v>0</v>
      </c>
      <c r="I719" s="100">
        <f>0+'[1]táj.2'!I719</f>
        <v>0</v>
      </c>
      <c r="J719" s="100">
        <f>0+'[1]táj.2'!J719</f>
        <v>0</v>
      </c>
      <c r="K719" s="100">
        <f>35000+'[1]táj.2'!K719</f>
        <v>38150</v>
      </c>
      <c r="L719" s="100">
        <f>0+'[1]táj.2'!L719</f>
        <v>0</v>
      </c>
      <c r="M719" s="100">
        <f>0+'[1]táj.2'!M719</f>
        <v>0</v>
      </c>
      <c r="N719" s="100">
        <f>0+'[1]táj.2'!N719</f>
        <v>0</v>
      </c>
      <c r="O719" s="100">
        <f>0+'[1]táj.2'!O719</f>
        <v>0</v>
      </c>
      <c r="P719" s="100">
        <f>0+'[1]táj.2'!P719</f>
        <v>0</v>
      </c>
      <c r="Q719" s="77">
        <f t="shared" si="42"/>
        <v>38150</v>
      </c>
    </row>
    <row r="720" spans="1:17" ht="13.5" customHeight="1">
      <c r="A720" s="75"/>
      <c r="B720" s="75"/>
      <c r="C720" s="129"/>
      <c r="D720" s="133" t="s">
        <v>951</v>
      </c>
      <c r="E720" s="10">
        <v>2</v>
      </c>
      <c r="F720" s="11">
        <v>191110</v>
      </c>
      <c r="G720" s="100">
        <f>5000+'[1]táj.2'!G720</f>
        <v>5000</v>
      </c>
      <c r="H720" s="100">
        <f>2400+'[1]táj.2'!H720</f>
        <v>2400</v>
      </c>
      <c r="I720" s="100">
        <f>2915+'[1]táj.2'!I720</f>
        <v>2765</v>
      </c>
      <c r="J720" s="100">
        <f>0+'[1]táj.2'!J720</f>
        <v>0</v>
      </c>
      <c r="K720" s="100">
        <f>0+'[1]táj.2'!K720</f>
        <v>150</v>
      </c>
      <c r="L720" s="100">
        <f>0+'[1]táj.2'!L720</f>
        <v>0</v>
      </c>
      <c r="M720" s="100">
        <f>0+'[1]táj.2'!M720</f>
        <v>0</v>
      </c>
      <c r="N720" s="100">
        <f>0+'[1]táj.2'!N720</f>
        <v>0</v>
      </c>
      <c r="O720" s="100">
        <f>0+'[1]táj.2'!O720</f>
        <v>0</v>
      </c>
      <c r="P720" s="100">
        <f>0+'[1]táj.2'!P720</f>
        <v>0</v>
      </c>
      <c r="Q720" s="77">
        <f t="shared" si="42"/>
        <v>10315</v>
      </c>
    </row>
    <row r="721" spans="1:17" ht="13.5" customHeight="1">
      <c r="A721" s="75"/>
      <c r="B721" s="75"/>
      <c r="C721" s="129"/>
      <c r="D721" s="133" t="s">
        <v>796</v>
      </c>
      <c r="E721" s="389"/>
      <c r="F721" s="142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77"/>
    </row>
    <row r="722" spans="1:17" ht="13.5" customHeight="1">
      <c r="A722" s="75"/>
      <c r="B722" s="75"/>
      <c r="C722" s="129"/>
      <c r="D722" s="133" t="s">
        <v>586</v>
      </c>
      <c r="E722" s="10">
        <v>2</v>
      </c>
      <c r="F722" s="11">
        <v>191301</v>
      </c>
      <c r="G722" s="100">
        <f>0+'[1]táj.2'!G722</f>
        <v>0</v>
      </c>
      <c r="H722" s="100">
        <f>0+'[1]táj.2'!H722</f>
        <v>0</v>
      </c>
      <c r="I722" s="100">
        <f>0+'[1]táj.2'!I722</f>
        <v>0</v>
      </c>
      <c r="J722" s="100">
        <f>0+'[1]táj.2'!J722</f>
        <v>0</v>
      </c>
      <c r="K722" s="100">
        <f>40000+'[1]táj.2'!K722</f>
        <v>40000</v>
      </c>
      <c r="L722" s="100">
        <f>0+'[1]táj.2'!L722</f>
        <v>0</v>
      </c>
      <c r="M722" s="100">
        <f>0+'[1]táj.2'!M722</f>
        <v>0</v>
      </c>
      <c r="N722" s="100">
        <f>0+'[1]táj.2'!N722</f>
        <v>0</v>
      </c>
      <c r="O722" s="100">
        <f>0+'[1]táj.2'!O722</f>
        <v>0</v>
      </c>
      <c r="P722" s="100">
        <f>0+'[1]táj.2'!P722</f>
        <v>0</v>
      </c>
      <c r="Q722" s="77">
        <f>SUM(G722:P722)</f>
        <v>40000</v>
      </c>
    </row>
    <row r="723" spans="1:17" ht="13.5" customHeight="1">
      <c r="A723" s="75"/>
      <c r="B723" s="75"/>
      <c r="C723" s="129"/>
      <c r="D723" s="133" t="s">
        <v>950</v>
      </c>
      <c r="E723" s="10">
        <v>2</v>
      </c>
      <c r="F723" s="11">
        <v>191302</v>
      </c>
      <c r="G723" s="100">
        <f>0+'[1]táj.2'!G723</f>
        <v>0</v>
      </c>
      <c r="H723" s="100">
        <f>0+'[1]táj.2'!H723</f>
        <v>0</v>
      </c>
      <c r="I723" s="100">
        <f>10000+'[1]táj.2'!I723</f>
        <v>10000</v>
      </c>
      <c r="J723" s="100">
        <f>0+'[1]táj.2'!J723</f>
        <v>0</v>
      </c>
      <c r="K723" s="100">
        <f>0+'[1]táj.2'!K723</f>
        <v>0</v>
      </c>
      <c r="L723" s="100">
        <f>0+'[1]táj.2'!L723</f>
        <v>0</v>
      </c>
      <c r="M723" s="100">
        <f>0+'[1]táj.2'!M723</f>
        <v>0</v>
      </c>
      <c r="N723" s="100">
        <f>0+'[1]táj.2'!N723</f>
        <v>0</v>
      </c>
      <c r="O723" s="100">
        <f>0+'[1]táj.2'!O723</f>
        <v>0</v>
      </c>
      <c r="P723" s="100">
        <f>0+'[1]táj.2'!P723</f>
        <v>0</v>
      </c>
      <c r="Q723" s="77">
        <f>SUM(G723:P723)</f>
        <v>10000</v>
      </c>
    </row>
    <row r="724" spans="1:17" ht="13.5" customHeight="1">
      <c r="A724" s="75"/>
      <c r="B724" s="75"/>
      <c r="C724" s="129"/>
      <c r="D724" s="265" t="s">
        <v>1159</v>
      </c>
      <c r="E724" s="10">
        <v>2</v>
      </c>
      <c r="F724" s="11">
        <v>191303</v>
      </c>
      <c r="G724" s="100">
        <f>0+'[1]táj.2'!G724</f>
        <v>0</v>
      </c>
      <c r="H724" s="100">
        <f>0+'[1]táj.2'!H724</f>
        <v>0</v>
      </c>
      <c r="I724" s="100">
        <f>0+'[1]táj.2'!I724</f>
        <v>0</v>
      </c>
      <c r="J724" s="100">
        <f>0+'[1]táj.2'!J724</f>
        <v>0</v>
      </c>
      <c r="K724" s="100">
        <f>500+'[1]táj.2'!K724</f>
        <v>500</v>
      </c>
      <c r="L724" s="100">
        <f>0+'[1]táj.2'!L724</f>
        <v>0</v>
      </c>
      <c r="M724" s="100">
        <f>0+'[1]táj.2'!M724</f>
        <v>0</v>
      </c>
      <c r="N724" s="100">
        <f>0+'[1]táj.2'!N724</f>
        <v>0</v>
      </c>
      <c r="O724" s="100">
        <f>0+'[1]táj.2'!O724</f>
        <v>0</v>
      </c>
      <c r="P724" s="100">
        <f>0+'[1]táj.2'!P724</f>
        <v>0</v>
      </c>
      <c r="Q724" s="77">
        <f>SUM(G724:P724)</f>
        <v>500</v>
      </c>
    </row>
    <row r="725" spans="1:17" ht="13.5" customHeight="1">
      <c r="A725" s="75"/>
      <c r="B725" s="75"/>
      <c r="C725" s="129"/>
      <c r="D725" s="790" t="s">
        <v>746</v>
      </c>
      <c r="E725" s="783"/>
      <c r="F725" s="11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77"/>
    </row>
    <row r="726" spans="1:17" ht="13.5" customHeight="1">
      <c r="A726" s="75"/>
      <c r="B726" s="75"/>
      <c r="C726" s="129"/>
      <c r="D726" s="95" t="s">
        <v>878</v>
      </c>
      <c r="E726" s="392">
        <v>2</v>
      </c>
      <c r="F726" s="29">
        <v>221951</v>
      </c>
      <c r="G726" s="100">
        <f>0+'[1]táj.2'!G726</f>
        <v>0</v>
      </c>
      <c r="H726" s="100">
        <f>0+'[1]táj.2'!H726</f>
        <v>0</v>
      </c>
      <c r="I726" s="100">
        <f>500+'[1]táj.2'!I726</f>
        <v>500</v>
      </c>
      <c r="J726" s="100">
        <f>0+'[1]táj.2'!J726</f>
        <v>0</v>
      </c>
      <c r="K726" s="100">
        <f>14925+'[1]táj.2'!K726</f>
        <v>14625</v>
      </c>
      <c r="L726" s="100">
        <f>0+'[1]táj.2'!L726</f>
        <v>0</v>
      </c>
      <c r="M726" s="100">
        <f>0+'[1]táj.2'!M726</f>
        <v>0</v>
      </c>
      <c r="N726" s="100">
        <f>0+'[1]táj.2'!N726</f>
        <v>100</v>
      </c>
      <c r="O726" s="100">
        <f>0+'[1]táj.2'!O726</f>
        <v>0</v>
      </c>
      <c r="P726" s="100">
        <f>0+'[1]táj.2'!P726</f>
        <v>0</v>
      </c>
      <c r="Q726" s="77">
        <f>SUM(G726:P726)</f>
        <v>15225</v>
      </c>
    </row>
    <row r="727" spans="1:17" ht="13.5" customHeight="1">
      <c r="A727" s="75"/>
      <c r="B727" s="75"/>
      <c r="C727" s="130"/>
      <c r="D727" s="791" t="s">
        <v>595</v>
      </c>
      <c r="E727" s="783">
        <v>2</v>
      </c>
      <c r="F727" s="11" t="s">
        <v>949</v>
      </c>
      <c r="G727" s="100">
        <f>0+'[1]táj.2'!G727</f>
        <v>0</v>
      </c>
      <c r="H727" s="100">
        <f>0+'[1]táj.2'!H727</f>
        <v>0</v>
      </c>
      <c r="I727" s="100">
        <f>46398+'[1]táj.2'!I727</f>
        <v>40586</v>
      </c>
      <c r="J727" s="100">
        <f>0+'[1]táj.2'!J727</f>
        <v>0</v>
      </c>
      <c r="K727" s="100">
        <f>0+'[1]táj.2'!K727</f>
        <v>5600</v>
      </c>
      <c r="L727" s="100">
        <f>0+'[1]táj.2'!L727</f>
        <v>362</v>
      </c>
      <c r="M727" s="100">
        <f>0+'[1]táj.2'!M727</f>
        <v>0</v>
      </c>
      <c r="N727" s="100">
        <f>0+'[1]táj.2'!N727</f>
        <v>0</v>
      </c>
      <c r="O727" s="100">
        <f>0+'[1]táj.2'!O727</f>
        <v>0</v>
      </c>
      <c r="P727" s="100">
        <f>0+'[1]táj.2'!P727</f>
        <v>0</v>
      </c>
      <c r="Q727" s="77">
        <f>SUM(G727:P727)</f>
        <v>46548</v>
      </c>
    </row>
    <row r="728" spans="1:17" ht="13.5" customHeight="1">
      <c r="A728" s="75"/>
      <c r="B728" s="75"/>
      <c r="C728" s="129"/>
      <c r="D728" s="262" t="s">
        <v>805</v>
      </c>
      <c r="E728" s="783"/>
      <c r="F728" s="11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77"/>
    </row>
    <row r="729" spans="1:17" ht="13.5" customHeight="1">
      <c r="A729" s="75"/>
      <c r="B729" s="75"/>
      <c r="C729" s="129"/>
      <c r="D729" s="262" t="s">
        <v>404</v>
      </c>
      <c r="E729" s="783">
        <v>2</v>
      </c>
      <c r="F729" s="11">
        <v>221929</v>
      </c>
      <c r="G729" s="100">
        <f>0+'[1]táj.2'!G729</f>
        <v>0</v>
      </c>
      <c r="H729" s="100">
        <f>0+'[1]táj.2'!H729</f>
        <v>0</v>
      </c>
      <c r="I729" s="100">
        <f>0+'[1]táj.2'!I729</f>
        <v>0</v>
      </c>
      <c r="J729" s="100">
        <f>0+'[1]táj.2'!J729</f>
        <v>0</v>
      </c>
      <c r="K729" s="100">
        <f>12000+'[1]táj.2'!K729</f>
        <v>12000</v>
      </c>
      <c r="L729" s="100">
        <f>0+'[1]táj.2'!L729</f>
        <v>0</v>
      </c>
      <c r="M729" s="100">
        <f>0+'[1]táj.2'!M729</f>
        <v>0</v>
      </c>
      <c r="N729" s="100">
        <f>0+'[1]táj.2'!N729</f>
        <v>0</v>
      </c>
      <c r="O729" s="100">
        <f>0+'[1]táj.2'!O729</f>
        <v>0</v>
      </c>
      <c r="P729" s="100">
        <f>0+'[1]táj.2'!P729</f>
        <v>0</v>
      </c>
      <c r="Q729" s="77">
        <f>SUM(G729:P729)</f>
        <v>12000</v>
      </c>
    </row>
    <row r="730" spans="1:17" ht="13.5" customHeight="1">
      <c r="A730" s="75"/>
      <c r="B730" s="75"/>
      <c r="C730" s="131"/>
      <c r="D730" s="262" t="s">
        <v>406</v>
      </c>
      <c r="E730" s="783">
        <v>2</v>
      </c>
      <c r="F730" s="11">
        <v>191402</v>
      </c>
      <c r="G730" s="100">
        <f>0+'[1]táj.2'!G730</f>
        <v>0</v>
      </c>
      <c r="H730" s="100">
        <f>0+'[1]táj.2'!H730</f>
        <v>0</v>
      </c>
      <c r="I730" s="100">
        <f>0+'[1]táj.2'!I730</f>
        <v>0</v>
      </c>
      <c r="J730" s="100">
        <f>0+'[1]táj.2'!J730</f>
        <v>0</v>
      </c>
      <c r="K730" s="100">
        <f>6000+'[1]táj.2'!K730</f>
        <v>6000</v>
      </c>
      <c r="L730" s="100">
        <f>0+'[1]táj.2'!L730</f>
        <v>0</v>
      </c>
      <c r="M730" s="100">
        <f>0+'[1]táj.2'!M730</f>
        <v>0</v>
      </c>
      <c r="N730" s="100">
        <f>0+'[1]táj.2'!N730</f>
        <v>0</v>
      </c>
      <c r="O730" s="100">
        <f>0+'[1]táj.2'!O730</f>
        <v>0</v>
      </c>
      <c r="P730" s="100">
        <f>0+'[1]táj.2'!P730</f>
        <v>0</v>
      </c>
      <c r="Q730" s="77">
        <f>SUM(G730:P730)</f>
        <v>6000</v>
      </c>
    </row>
    <row r="731" spans="1:17" ht="13.5" customHeight="1">
      <c r="A731" s="75"/>
      <c r="B731" s="75"/>
      <c r="C731" s="131"/>
      <c r="D731" s="262" t="s">
        <v>164</v>
      </c>
      <c r="E731" s="783"/>
      <c r="F731" s="11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77"/>
    </row>
    <row r="732" spans="1:17" ht="13.5" customHeight="1">
      <c r="A732" s="75"/>
      <c r="B732" s="75"/>
      <c r="C732" s="131"/>
      <c r="D732" s="262" t="s">
        <v>940</v>
      </c>
      <c r="E732" s="783">
        <v>1</v>
      </c>
      <c r="F732" s="11">
        <v>221909</v>
      </c>
      <c r="G732" s="100">
        <f>0+'[1]táj.2'!G732</f>
        <v>0</v>
      </c>
      <c r="H732" s="100">
        <f>0+'[1]táj.2'!H732</f>
        <v>0</v>
      </c>
      <c r="I732" s="100">
        <f>0+'[1]táj.2'!I732</f>
        <v>0</v>
      </c>
      <c r="J732" s="100">
        <f>0+'[1]táj.2'!J732</f>
        <v>0</v>
      </c>
      <c r="K732" s="100">
        <f>17361+'[1]táj.2'!K732</f>
        <v>17361</v>
      </c>
      <c r="L732" s="100">
        <f>0+'[1]táj.2'!L732</f>
        <v>0</v>
      </c>
      <c r="M732" s="100">
        <f>0+'[1]táj.2'!M732</f>
        <v>0</v>
      </c>
      <c r="N732" s="100">
        <f>0+'[1]táj.2'!N732</f>
        <v>0</v>
      </c>
      <c r="O732" s="100">
        <f>0+'[1]táj.2'!O732</f>
        <v>0</v>
      </c>
      <c r="P732" s="100">
        <f>0+'[1]táj.2'!P732</f>
        <v>0</v>
      </c>
      <c r="Q732" s="77">
        <f>SUM(G732:P732)</f>
        <v>17361</v>
      </c>
    </row>
    <row r="733" spans="1:17" ht="13.5" customHeight="1">
      <c r="A733" s="75"/>
      <c r="B733" s="75"/>
      <c r="C733" s="129"/>
      <c r="D733" s="262" t="s">
        <v>941</v>
      </c>
      <c r="E733" s="783">
        <v>1</v>
      </c>
      <c r="F733" s="11">
        <v>221913</v>
      </c>
      <c r="G733" s="100">
        <f>400+'[1]táj.2'!G733</f>
        <v>400</v>
      </c>
      <c r="H733" s="100">
        <f>150+'[1]táj.2'!H733</f>
        <v>150</v>
      </c>
      <c r="I733" s="100">
        <f>44544+'[1]táj.2'!I733</f>
        <v>46544</v>
      </c>
      <c r="J733" s="100">
        <f>0+'[1]táj.2'!J733</f>
        <v>0</v>
      </c>
      <c r="K733" s="100">
        <f>500+'[1]táj.2'!K733</f>
        <v>500</v>
      </c>
      <c r="L733" s="100">
        <f>0+'[1]táj.2'!L733</f>
        <v>0</v>
      </c>
      <c r="M733" s="100">
        <f>0+'[1]táj.2'!M733</f>
        <v>0</v>
      </c>
      <c r="N733" s="100">
        <f>0+'[1]táj.2'!N733</f>
        <v>0</v>
      </c>
      <c r="O733" s="100">
        <f>0+'[1]táj.2'!O733</f>
        <v>0</v>
      </c>
      <c r="P733" s="100">
        <f>0+'[1]táj.2'!P733</f>
        <v>0</v>
      </c>
      <c r="Q733" s="77">
        <f>SUM(G733:P733)</f>
        <v>47594</v>
      </c>
    </row>
    <row r="734" spans="1:17" ht="24.75" customHeight="1">
      <c r="A734" s="75"/>
      <c r="B734" s="75"/>
      <c r="C734" s="129"/>
      <c r="D734" s="223" t="s">
        <v>1260</v>
      </c>
      <c r="E734" s="783">
        <v>2</v>
      </c>
      <c r="F734" s="11">
        <v>221914</v>
      </c>
      <c r="G734" s="100">
        <f>0+'[1]táj.2'!G734</f>
        <v>0</v>
      </c>
      <c r="H734" s="100">
        <f>0+'[1]táj.2'!H734</f>
        <v>0</v>
      </c>
      <c r="I734" s="100">
        <f>0+'[1]táj.2'!I734</f>
        <v>0</v>
      </c>
      <c r="J734" s="100">
        <f>0+'[1]táj.2'!J734</f>
        <v>0</v>
      </c>
      <c r="K734" s="100">
        <f>2500+'[1]táj.2'!K734</f>
        <v>2500</v>
      </c>
      <c r="L734" s="100">
        <f>0+'[1]táj.2'!L734</f>
        <v>0</v>
      </c>
      <c r="M734" s="100">
        <f>0+'[1]táj.2'!M734</f>
        <v>0</v>
      </c>
      <c r="N734" s="100">
        <f>0+'[1]táj.2'!N734</f>
        <v>0</v>
      </c>
      <c r="O734" s="100">
        <f>0+'[1]táj.2'!O734</f>
        <v>0</v>
      </c>
      <c r="P734" s="100">
        <f>0+'[1]táj.2'!P734</f>
        <v>0</v>
      </c>
      <c r="Q734" s="77">
        <f>SUM(G734:P734)</f>
        <v>2500</v>
      </c>
    </row>
    <row r="735" spans="1:17" ht="16.5" customHeight="1">
      <c r="A735" s="75"/>
      <c r="B735" s="75"/>
      <c r="C735" s="129"/>
      <c r="D735" s="133" t="s">
        <v>799</v>
      </c>
      <c r="E735" s="389"/>
      <c r="F735" s="142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1"/>
    </row>
    <row r="736" spans="1:17" ht="14.25" customHeight="1">
      <c r="A736" s="75"/>
      <c r="B736" s="75"/>
      <c r="C736" s="129"/>
      <c r="D736" s="133" t="s">
        <v>1232</v>
      </c>
      <c r="E736" s="10">
        <v>2</v>
      </c>
      <c r="F736" s="11">
        <v>191151</v>
      </c>
      <c r="G736" s="100">
        <f>0+'[1]táj.2'!G736</f>
        <v>0</v>
      </c>
      <c r="H736" s="100">
        <f>0+'[1]táj.2'!H736</f>
        <v>0</v>
      </c>
      <c r="I736" s="100">
        <f>0+'[1]táj.2'!I736</f>
        <v>0</v>
      </c>
      <c r="J736" s="100">
        <f>0+'[1]táj.2'!J736</f>
        <v>0</v>
      </c>
      <c r="K736" s="100">
        <f>70000+'[1]táj.2'!K736</f>
        <v>70000</v>
      </c>
      <c r="L736" s="100">
        <f>0+'[1]táj.2'!L736</f>
        <v>0</v>
      </c>
      <c r="M736" s="100">
        <f>0+'[1]táj.2'!M736</f>
        <v>0</v>
      </c>
      <c r="N736" s="100">
        <f>0+'[1]táj.2'!N736</f>
        <v>0</v>
      </c>
      <c r="O736" s="100">
        <f>0+'[1]táj.2'!O736</f>
        <v>0</v>
      </c>
      <c r="P736" s="100">
        <f>0+'[1]táj.2'!P736</f>
        <v>0</v>
      </c>
      <c r="Q736" s="11">
        <f>SUM(G736:P736)</f>
        <v>70000</v>
      </c>
    </row>
    <row r="737" spans="1:17" ht="15.75" customHeight="1">
      <c r="A737" s="75"/>
      <c r="B737" s="75"/>
      <c r="C737" s="129"/>
      <c r="D737" s="133" t="s">
        <v>809</v>
      </c>
      <c r="E737" s="783"/>
      <c r="F737" s="11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77"/>
    </row>
    <row r="738" spans="1:17" ht="24" customHeight="1">
      <c r="A738" s="75"/>
      <c r="B738" s="75"/>
      <c r="C738" s="129"/>
      <c r="D738" s="95" t="s">
        <v>1231</v>
      </c>
      <c r="E738" s="783">
        <v>2</v>
      </c>
      <c r="F738" s="11">
        <v>221942</v>
      </c>
      <c r="G738" s="100">
        <f>0+'[1]táj.2'!G738</f>
        <v>0</v>
      </c>
      <c r="H738" s="100">
        <f>0+'[1]táj.2'!H738</f>
        <v>0</v>
      </c>
      <c r="I738" s="100">
        <f>10000+'[1]táj.2'!I738</f>
        <v>10000</v>
      </c>
      <c r="J738" s="100">
        <f>0+'[1]táj.2'!J738</f>
        <v>0</v>
      </c>
      <c r="K738" s="100">
        <f>0+'[1]táj.2'!K738</f>
        <v>0</v>
      </c>
      <c r="L738" s="100">
        <f>0+'[1]táj.2'!L738</f>
        <v>0</v>
      </c>
      <c r="M738" s="100">
        <f>0+'[1]táj.2'!M738</f>
        <v>0</v>
      </c>
      <c r="N738" s="100">
        <f>0+'[1]táj.2'!N738</f>
        <v>0</v>
      </c>
      <c r="O738" s="100">
        <f>0+'[1]táj.2'!O738</f>
        <v>0</v>
      </c>
      <c r="P738" s="100">
        <f>0+'[1]táj.2'!P738</f>
        <v>0</v>
      </c>
      <c r="Q738" s="77">
        <f aca="true" t="shared" si="43" ref="Q738:Q744">SUM(G738:P738)</f>
        <v>10000</v>
      </c>
    </row>
    <row r="739" spans="1:17" ht="24" customHeight="1">
      <c r="A739" s="75"/>
      <c r="B739" s="75"/>
      <c r="C739" s="129"/>
      <c r="D739" s="95" t="s">
        <v>343</v>
      </c>
      <c r="E739" s="783">
        <v>2</v>
      </c>
      <c r="F739" s="11">
        <v>221910</v>
      </c>
      <c r="G739" s="100">
        <f>0+'[1]táj.2'!G739</f>
        <v>0</v>
      </c>
      <c r="H739" s="100">
        <f>0+'[1]táj.2'!H739</f>
        <v>0</v>
      </c>
      <c r="I739" s="100">
        <f>0+'[1]táj.2'!I739</f>
        <v>0</v>
      </c>
      <c r="J739" s="100">
        <f>0+'[1]táj.2'!J739</f>
        <v>0</v>
      </c>
      <c r="K739" s="100">
        <f>10000+'[1]táj.2'!K739</f>
        <v>10000</v>
      </c>
      <c r="L739" s="100">
        <f>0+'[1]táj.2'!L739</f>
        <v>0</v>
      </c>
      <c r="M739" s="100">
        <f>0+'[1]táj.2'!M739</f>
        <v>0</v>
      </c>
      <c r="N739" s="100">
        <f>0+'[1]táj.2'!N739</f>
        <v>0</v>
      </c>
      <c r="O739" s="100">
        <f>0+'[1]táj.2'!O739</f>
        <v>0</v>
      </c>
      <c r="P739" s="100">
        <f>0+'[1]táj.2'!P739</f>
        <v>0</v>
      </c>
      <c r="Q739" s="77">
        <f t="shared" si="43"/>
        <v>10000</v>
      </c>
    </row>
    <row r="740" spans="1:17" ht="38.25">
      <c r="A740" s="75"/>
      <c r="B740" s="75"/>
      <c r="C740" s="129"/>
      <c r="D740" s="629" t="s">
        <v>1349</v>
      </c>
      <c r="E740" s="783">
        <v>2</v>
      </c>
      <c r="F740" s="11">
        <v>221919</v>
      </c>
      <c r="G740" s="100">
        <f>0+'[1]táj.2'!G740</f>
        <v>0</v>
      </c>
      <c r="H740" s="100">
        <f>0+'[1]táj.2'!H740</f>
        <v>0</v>
      </c>
      <c r="I740" s="100">
        <f>0+'[1]táj.2'!I740</f>
        <v>0</v>
      </c>
      <c r="J740" s="100">
        <f>0+'[1]táj.2'!J740</f>
        <v>0</v>
      </c>
      <c r="K740" s="100">
        <f>500+'[1]táj.2'!K740</f>
        <v>500</v>
      </c>
      <c r="L740" s="100">
        <f>0+'[1]táj.2'!L740</f>
        <v>0</v>
      </c>
      <c r="M740" s="100">
        <f>0+'[1]táj.2'!M740</f>
        <v>0</v>
      </c>
      <c r="N740" s="100">
        <f>0+'[1]táj.2'!N740</f>
        <v>0</v>
      </c>
      <c r="O740" s="100">
        <f>0+'[1]táj.2'!O740</f>
        <v>0</v>
      </c>
      <c r="P740" s="100">
        <f>0+'[1]táj.2'!P740</f>
        <v>0</v>
      </c>
      <c r="Q740" s="77">
        <f t="shared" si="43"/>
        <v>500</v>
      </c>
    </row>
    <row r="741" spans="1:17" ht="25.5">
      <c r="A741" s="75"/>
      <c r="B741" s="75"/>
      <c r="C741" s="129"/>
      <c r="D741" s="629" t="s">
        <v>1453</v>
      </c>
      <c r="E741" s="783">
        <v>2</v>
      </c>
      <c r="F741" s="11">
        <v>221938</v>
      </c>
      <c r="G741" s="100">
        <f>0+'[1]táj.2'!G741</f>
        <v>0</v>
      </c>
      <c r="H741" s="100">
        <f>0+'[1]táj.2'!H741</f>
        <v>0</v>
      </c>
      <c r="I741" s="100">
        <f>0+'[1]táj.2'!I741</f>
        <v>0</v>
      </c>
      <c r="J741" s="100">
        <f>0+'[1]táj.2'!J741</f>
        <v>0</v>
      </c>
      <c r="K741" s="100">
        <f>1500+'[1]táj.2'!K741</f>
        <v>1500</v>
      </c>
      <c r="L741" s="100">
        <f>0+'[1]táj.2'!L741</f>
        <v>0</v>
      </c>
      <c r="M741" s="100">
        <f>0+'[1]táj.2'!M741</f>
        <v>0</v>
      </c>
      <c r="N741" s="100">
        <f>0+'[1]táj.2'!N741</f>
        <v>0</v>
      </c>
      <c r="O741" s="100">
        <f>0+'[1]táj.2'!O741</f>
        <v>0</v>
      </c>
      <c r="P741" s="100">
        <f>0+'[1]táj.2'!P741</f>
        <v>0</v>
      </c>
      <c r="Q741" s="77">
        <f t="shared" si="43"/>
        <v>1500</v>
      </c>
    </row>
    <row r="742" spans="1:17" ht="16.5" customHeight="1">
      <c r="A742" s="75"/>
      <c r="B742" s="75"/>
      <c r="C742" s="129"/>
      <c r="D742" s="145" t="s">
        <v>1409</v>
      </c>
      <c r="E742" s="393">
        <v>2</v>
      </c>
      <c r="F742" s="11">
        <v>121518</v>
      </c>
      <c r="G742" s="100">
        <f>0+'[1]táj.2'!G742</f>
        <v>0</v>
      </c>
      <c r="H742" s="100">
        <f>0+'[1]táj.2'!H742</f>
        <v>0</v>
      </c>
      <c r="I742" s="100">
        <f>0+'[1]táj.2'!I742</f>
        <v>0</v>
      </c>
      <c r="J742" s="100">
        <f>0+'[1]táj.2'!J742</f>
        <v>0</v>
      </c>
      <c r="K742" s="100">
        <f>500+'[1]táj.2'!K742</f>
        <v>822</v>
      </c>
      <c r="L742" s="100">
        <f>0+'[1]táj.2'!L742</f>
        <v>0</v>
      </c>
      <c r="M742" s="100">
        <f>0+'[1]táj.2'!M742</f>
        <v>0</v>
      </c>
      <c r="N742" s="100">
        <f>0+'[1]táj.2'!N742</f>
        <v>0</v>
      </c>
      <c r="O742" s="100">
        <f>0+'[1]táj.2'!O742</f>
        <v>0</v>
      </c>
      <c r="P742" s="100">
        <f>0+'[1]táj.2'!P742</f>
        <v>0</v>
      </c>
      <c r="Q742" s="77">
        <f t="shared" si="43"/>
        <v>822</v>
      </c>
    </row>
    <row r="743" spans="1:17" ht="15" customHeight="1">
      <c r="A743" s="75"/>
      <c r="B743" s="75"/>
      <c r="C743" s="129"/>
      <c r="D743" s="223" t="s">
        <v>1131</v>
      </c>
      <c r="E743" s="783">
        <v>2</v>
      </c>
      <c r="F743" s="11">
        <v>221931</v>
      </c>
      <c r="G743" s="100">
        <f>0+'[1]táj.2'!G743</f>
        <v>0</v>
      </c>
      <c r="H743" s="100">
        <f>0+'[1]táj.2'!H743</f>
        <v>0</v>
      </c>
      <c r="I743" s="100">
        <f>0+'[1]táj.2'!I743</f>
        <v>0</v>
      </c>
      <c r="J743" s="100">
        <f>0+'[1]táj.2'!J743</f>
        <v>0</v>
      </c>
      <c r="K743" s="100">
        <f>1300+'[1]táj.2'!K743</f>
        <v>1300</v>
      </c>
      <c r="L743" s="100">
        <f>0+'[1]táj.2'!L743</f>
        <v>0</v>
      </c>
      <c r="M743" s="100">
        <f>0+'[1]táj.2'!M743</f>
        <v>0</v>
      </c>
      <c r="N743" s="100">
        <f>0+'[1]táj.2'!N743</f>
        <v>0</v>
      </c>
      <c r="O743" s="100">
        <f>0+'[1]táj.2'!O743</f>
        <v>0</v>
      </c>
      <c r="P743" s="100">
        <f>0+'[1]táj.2'!P743</f>
        <v>0</v>
      </c>
      <c r="Q743" s="77">
        <f t="shared" si="43"/>
        <v>1300</v>
      </c>
    </row>
    <row r="744" spans="1:17" ht="25.5" customHeight="1">
      <c r="A744" s="75"/>
      <c r="B744" s="75"/>
      <c r="C744" s="129"/>
      <c r="D744" s="629" t="s">
        <v>1473</v>
      </c>
      <c r="E744" s="783">
        <v>2</v>
      </c>
      <c r="F744" s="11">
        <v>221915</v>
      </c>
      <c r="G744" s="100">
        <f>0+'[1]táj.2'!G744</f>
        <v>0</v>
      </c>
      <c r="H744" s="100">
        <f>0+'[1]táj.2'!H744</f>
        <v>0</v>
      </c>
      <c r="I744" s="100">
        <f>0+'[1]táj.2'!I744</f>
        <v>0</v>
      </c>
      <c r="J744" s="100">
        <f>0+'[1]táj.2'!J744</f>
        <v>0</v>
      </c>
      <c r="K744" s="100">
        <f>2000+'[1]táj.2'!K744</f>
        <v>2000</v>
      </c>
      <c r="L744" s="100">
        <f>0+'[1]táj.2'!L744</f>
        <v>0</v>
      </c>
      <c r="M744" s="100">
        <f>0+'[1]táj.2'!M744</f>
        <v>0</v>
      </c>
      <c r="N744" s="100">
        <f>0+'[1]táj.2'!N744</f>
        <v>0</v>
      </c>
      <c r="O744" s="100">
        <f>0+'[1]táj.2'!O744</f>
        <v>0</v>
      </c>
      <c r="P744" s="100">
        <f>0+'[1]táj.2'!P744</f>
        <v>0</v>
      </c>
      <c r="Q744" s="77">
        <f t="shared" si="43"/>
        <v>2000</v>
      </c>
    </row>
    <row r="745" spans="1:17" ht="13.5" customHeight="1">
      <c r="A745" s="65"/>
      <c r="B745" s="65"/>
      <c r="C745" s="126"/>
      <c r="D745" s="268" t="s">
        <v>1264</v>
      </c>
      <c r="E745" s="394"/>
      <c r="F745" s="69"/>
      <c r="G745" s="80">
        <f aca="true" t="shared" si="44" ref="G745:Q745">SUM(G711:G744)</f>
        <v>14088</v>
      </c>
      <c r="H745" s="80">
        <f t="shared" si="44"/>
        <v>6542</v>
      </c>
      <c r="I745" s="80">
        <f t="shared" si="44"/>
        <v>156335</v>
      </c>
      <c r="J745" s="80">
        <f t="shared" si="44"/>
        <v>0</v>
      </c>
      <c r="K745" s="80">
        <f t="shared" si="44"/>
        <v>266258</v>
      </c>
      <c r="L745" s="80">
        <f t="shared" si="44"/>
        <v>1010</v>
      </c>
      <c r="M745" s="80">
        <f t="shared" si="44"/>
        <v>0</v>
      </c>
      <c r="N745" s="80">
        <f t="shared" si="44"/>
        <v>100</v>
      </c>
      <c r="O745" s="80">
        <f t="shared" si="44"/>
        <v>0</v>
      </c>
      <c r="P745" s="80">
        <f t="shared" si="44"/>
        <v>0</v>
      </c>
      <c r="Q745" s="80">
        <f t="shared" si="44"/>
        <v>444333</v>
      </c>
    </row>
    <row r="746" spans="1:17" ht="13.5" customHeight="1">
      <c r="A746" s="74"/>
      <c r="B746" s="74"/>
      <c r="C746" s="74"/>
      <c r="D746" s="792" t="s">
        <v>1221</v>
      </c>
      <c r="E746" s="774"/>
      <c r="F746" s="12"/>
      <c r="G746" s="793"/>
      <c r="H746" s="793"/>
      <c r="I746" s="793"/>
      <c r="J746" s="793"/>
      <c r="K746" s="793"/>
      <c r="L746" s="793"/>
      <c r="M746" s="793"/>
      <c r="N746" s="793"/>
      <c r="O746" s="793"/>
      <c r="P746" s="793"/>
      <c r="Q746" s="793"/>
    </row>
    <row r="747" spans="1:17" ht="26.25" customHeight="1">
      <c r="A747" s="74"/>
      <c r="B747" s="74"/>
      <c r="C747" s="128" t="s">
        <v>577</v>
      </c>
      <c r="D747" s="114" t="s">
        <v>353</v>
      </c>
      <c r="E747" s="774"/>
      <c r="F747" s="11">
        <v>222902</v>
      </c>
      <c r="G747" s="14">
        <f>0+'[1]táj.2'!G747</f>
        <v>0</v>
      </c>
      <c r="H747" s="14">
        <f>0+'[1]táj.2'!H747</f>
        <v>0</v>
      </c>
      <c r="I747" s="14">
        <f>0+'[1]táj.2'!I747</f>
        <v>0</v>
      </c>
      <c r="J747" s="14">
        <f>0+'[1]táj.2'!J747</f>
        <v>0</v>
      </c>
      <c r="K747" s="14">
        <f>0+'[1]táj.2'!K747</f>
        <v>0</v>
      </c>
      <c r="L747" s="14">
        <f>9782+'[1]táj.2'!L747</f>
        <v>7782</v>
      </c>
      <c r="M747" s="14">
        <f>0+'[1]táj.2'!M747</f>
        <v>0</v>
      </c>
      <c r="N747" s="14">
        <f>0+'[1]táj.2'!N747</f>
        <v>0</v>
      </c>
      <c r="O747" s="14">
        <f>0+'[1]táj.2'!O747</f>
        <v>0</v>
      </c>
      <c r="P747" s="14">
        <f>0+'[1]táj.2'!P747</f>
        <v>0</v>
      </c>
      <c r="Q747" s="14">
        <f>SUM(L747:P747)</f>
        <v>7782</v>
      </c>
    </row>
    <row r="748" spans="1:17" ht="26.25" customHeight="1">
      <c r="A748" s="74"/>
      <c r="B748" s="74"/>
      <c r="C748" s="127" t="s">
        <v>576</v>
      </c>
      <c r="D748" s="114" t="s">
        <v>1096</v>
      </c>
      <c r="E748" s="794"/>
      <c r="F748" s="71">
        <v>172959</v>
      </c>
      <c r="G748" s="14">
        <f>0+'[1]táj.2'!G748</f>
        <v>0</v>
      </c>
      <c r="H748" s="14">
        <f>0+'[1]táj.2'!H748</f>
        <v>0</v>
      </c>
      <c r="I748" s="14">
        <f>0+'[1]táj.2'!I748</f>
        <v>0</v>
      </c>
      <c r="J748" s="14">
        <f>0+'[1]táj.2'!J748</f>
        <v>0</v>
      </c>
      <c r="K748" s="14">
        <f>0+'[1]táj.2'!K748</f>
        <v>0</v>
      </c>
      <c r="L748" s="14">
        <f>0+'[1]táj.2'!L748</f>
        <v>0</v>
      </c>
      <c r="M748" s="14">
        <f>0+'[1]táj.2'!M748</f>
        <v>0</v>
      </c>
      <c r="N748" s="14">
        <f>0+'[1]táj.2'!N748</f>
        <v>4750</v>
      </c>
      <c r="O748" s="14">
        <f>0+'[1]táj.2'!O748</f>
        <v>0</v>
      </c>
      <c r="P748" s="14">
        <f>0+'[1]táj.2'!P748</f>
        <v>0</v>
      </c>
      <c r="Q748" s="14">
        <f>SUM(L748:P748)</f>
        <v>4750</v>
      </c>
    </row>
    <row r="749" spans="1:17" ht="26.25" customHeight="1">
      <c r="A749" s="74"/>
      <c r="B749" s="74"/>
      <c r="C749" s="127" t="s">
        <v>578</v>
      </c>
      <c r="D749" s="114" t="s">
        <v>40</v>
      </c>
      <c r="E749" s="794"/>
      <c r="F749" s="71">
        <v>172960</v>
      </c>
      <c r="G749" s="14">
        <f>0+'[1]táj.2'!G749</f>
        <v>0</v>
      </c>
      <c r="H749" s="14">
        <f>0+'[1]táj.2'!H749</f>
        <v>0</v>
      </c>
      <c r="I749" s="14">
        <f>0+'[1]táj.2'!I749</f>
        <v>0</v>
      </c>
      <c r="J749" s="14">
        <f>0+'[1]táj.2'!J749</f>
        <v>0</v>
      </c>
      <c r="K749" s="14">
        <f>0+'[1]táj.2'!K749</f>
        <v>0</v>
      </c>
      <c r="L749" s="14">
        <f>0+'[1]táj.2'!L749</f>
        <v>0</v>
      </c>
      <c r="M749" s="14">
        <f>0+'[1]táj.2'!M749</f>
        <v>0</v>
      </c>
      <c r="N749" s="14">
        <f>0+'[1]táj.2'!N749</f>
        <v>5965</v>
      </c>
      <c r="O749" s="14">
        <f>0+'[1]táj.2'!O749</f>
        <v>0</v>
      </c>
      <c r="P749" s="14">
        <f>0+'[1]táj.2'!P749</f>
        <v>0</v>
      </c>
      <c r="Q749" s="14">
        <f>SUM(L749:P749)</f>
        <v>5965</v>
      </c>
    </row>
    <row r="750" spans="1:17" ht="13.5" customHeight="1">
      <c r="A750" s="74"/>
      <c r="B750" s="74"/>
      <c r="C750" s="74"/>
      <c r="D750" s="133" t="s">
        <v>686</v>
      </c>
      <c r="E750" s="774"/>
      <c r="F750" s="12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793"/>
    </row>
    <row r="751" spans="1:17" ht="15" customHeight="1">
      <c r="A751" s="74"/>
      <c r="B751" s="74"/>
      <c r="C751" s="737" t="s">
        <v>388</v>
      </c>
      <c r="D751" s="795" t="s">
        <v>227</v>
      </c>
      <c r="E751" s="395"/>
      <c r="F751" s="11">
        <v>222904</v>
      </c>
      <c r="G751" s="14">
        <f>0+'[1]táj.2'!G751</f>
        <v>0</v>
      </c>
      <c r="H751" s="14">
        <f>0+'[1]táj.2'!H751</f>
        <v>0</v>
      </c>
      <c r="I751" s="14">
        <f>0+'[1]táj.2'!I751</f>
        <v>0</v>
      </c>
      <c r="J751" s="14">
        <f>0+'[1]táj.2'!J751</f>
        <v>0</v>
      </c>
      <c r="K751" s="14">
        <f>0+'[1]táj.2'!K751</f>
        <v>0</v>
      </c>
      <c r="L751" s="14">
        <f>0+'[1]táj.2'!L751</f>
        <v>0</v>
      </c>
      <c r="M751" s="14">
        <f>0+'[1]táj.2'!M751</f>
        <v>0</v>
      </c>
      <c r="N751" s="14">
        <f>4507+'[1]táj.2'!N751</f>
        <v>4507</v>
      </c>
      <c r="O751" s="14">
        <f>0+'[1]táj.2'!O751</f>
        <v>0</v>
      </c>
      <c r="P751" s="14">
        <f>0+'[1]táj.2'!P751</f>
        <v>0</v>
      </c>
      <c r="Q751" s="14">
        <f>SUM(G751:P751)</f>
        <v>4507</v>
      </c>
    </row>
    <row r="752" spans="1:17" ht="15" customHeight="1">
      <c r="A752" s="65"/>
      <c r="B752" s="65"/>
      <c r="C752" s="126"/>
      <c r="D752" s="104" t="s">
        <v>1035</v>
      </c>
      <c r="E752" s="394"/>
      <c r="F752" s="69"/>
      <c r="G752" s="80">
        <f aca="true" t="shared" si="45" ref="G752:Q752">SUM(G745:G751)</f>
        <v>14088</v>
      </c>
      <c r="H752" s="80">
        <f t="shared" si="45"/>
        <v>6542</v>
      </c>
      <c r="I752" s="80">
        <f t="shared" si="45"/>
        <v>156335</v>
      </c>
      <c r="J752" s="80">
        <f t="shared" si="45"/>
        <v>0</v>
      </c>
      <c r="K752" s="80">
        <f t="shared" si="45"/>
        <v>266258</v>
      </c>
      <c r="L752" s="80">
        <f t="shared" si="45"/>
        <v>8792</v>
      </c>
      <c r="M752" s="80">
        <f t="shared" si="45"/>
        <v>0</v>
      </c>
      <c r="N752" s="80">
        <f t="shared" si="45"/>
        <v>15322</v>
      </c>
      <c r="O752" s="80">
        <f t="shared" si="45"/>
        <v>0</v>
      </c>
      <c r="P752" s="80">
        <f t="shared" si="45"/>
        <v>0</v>
      </c>
      <c r="Q752" s="80">
        <f t="shared" si="45"/>
        <v>467337</v>
      </c>
    </row>
    <row r="753" spans="1:17" ht="15" customHeight="1">
      <c r="A753" s="74">
        <v>1</v>
      </c>
      <c r="B753" s="74">
        <v>30</v>
      </c>
      <c r="C753" s="128"/>
      <c r="D753" s="136" t="s">
        <v>802</v>
      </c>
      <c r="E753" s="384"/>
      <c r="F753" s="11"/>
      <c r="G753" s="11"/>
      <c r="H753" s="6"/>
      <c r="I753" s="6"/>
      <c r="J753" s="6"/>
      <c r="K753" s="6"/>
      <c r="L753" s="6"/>
      <c r="M753" s="11"/>
      <c r="N753" s="11"/>
      <c r="O753" s="11"/>
      <c r="P753" s="11"/>
      <c r="Q753" s="11"/>
    </row>
    <row r="754" spans="1:17" ht="15" customHeight="1">
      <c r="A754" s="74"/>
      <c r="B754" s="74">
        <v>31</v>
      </c>
      <c r="C754" s="128"/>
      <c r="D754" s="136" t="s">
        <v>401</v>
      </c>
      <c r="E754" s="10">
        <v>1</v>
      </c>
      <c r="F754" s="11">
        <v>311901</v>
      </c>
      <c r="G754" s="14">
        <f>0+'[1]táj.2'!G754</f>
        <v>0</v>
      </c>
      <c r="H754" s="14">
        <f>0+'[1]táj.2'!H754</f>
        <v>0</v>
      </c>
      <c r="I754" s="14">
        <f>0+'[1]táj.2'!I754</f>
        <v>0</v>
      </c>
      <c r="J754" s="14">
        <f>0+'[1]táj.2'!J754</f>
        <v>0</v>
      </c>
      <c r="K754" s="14">
        <f>9000+'[1]táj.2'!K754</f>
        <v>9000</v>
      </c>
      <c r="L754" s="14">
        <f>0+'[1]táj.2'!L754</f>
        <v>0</v>
      </c>
      <c r="M754" s="14">
        <f>0+'[1]táj.2'!M754</f>
        <v>0</v>
      </c>
      <c r="N754" s="14">
        <f>0+'[1]táj.2'!N754</f>
        <v>0</v>
      </c>
      <c r="O754" s="14">
        <f>0+'[1]táj.2'!O754</f>
        <v>0</v>
      </c>
      <c r="P754" s="14">
        <f>0+'[1]táj.2'!P754</f>
        <v>0</v>
      </c>
      <c r="Q754" s="11">
        <f>SUM(K754:P754)</f>
        <v>9000</v>
      </c>
    </row>
    <row r="755" spans="1:17" ht="15" customHeight="1">
      <c r="A755" s="70"/>
      <c r="B755" s="70">
        <v>32</v>
      </c>
      <c r="C755" s="127"/>
      <c r="D755" s="136" t="s">
        <v>193</v>
      </c>
      <c r="E755" s="10"/>
      <c r="F755" s="11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1"/>
    </row>
    <row r="756" spans="1:17" ht="15" customHeight="1">
      <c r="A756" s="70"/>
      <c r="B756" s="70"/>
      <c r="C756" s="127"/>
      <c r="D756" s="133" t="s">
        <v>402</v>
      </c>
      <c r="E756" s="10">
        <v>1</v>
      </c>
      <c r="F756" s="11">
        <v>321907</v>
      </c>
      <c r="G756" s="14">
        <f>0+'[1]táj.2'!G756</f>
        <v>0</v>
      </c>
      <c r="H756" s="14">
        <f>0+'[1]táj.2'!H756</f>
        <v>0</v>
      </c>
      <c r="I756" s="14">
        <f>0+'[1]táj.2'!I756</f>
        <v>0</v>
      </c>
      <c r="J756" s="14">
        <f>0+'[1]táj.2'!J756</f>
        <v>0</v>
      </c>
      <c r="K756" s="14">
        <f>38400+'[1]táj.2'!K756</f>
        <v>38400</v>
      </c>
      <c r="L756" s="14">
        <f>0+'[1]táj.2'!L756</f>
        <v>0</v>
      </c>
      <c r="M756" s="14">
        <f>0+'[1]táj.2'!M756</f>
        <v>0</v>
      </c>
      <c r="N756" s="14">
        <f>0+'[1]táj.2'!N756</f>
        <v>0</v>
      </c>
      <c r="O756" s="14">
        <f>0+'[1]táj.2'!O756</f>
        <v>0</v>
      </c>
      <c r="P756" s="14">
        <f>0+'[1]táj.2'!P756</f>
        <v>0</v>
      </c>
      <c r="Q756" s="11">
        <f aca="true" t="shared" si="46" ref="Q756:Q763">SUM(K756:P756)</f>
        <v>38400</v>
      </c>
    </row>
    <row r="757" spans="1:17" ht="15" customHeight="1">
      <c r="A757" s="73"/>
      <c r="B757" s="73"/>
      <c r="C757" s="73"/>
      <c r="D757" s="275" t="s">
        <v>700</v>
      </c>
      <c r="E757" s="396">
        <v>1</v>
      </c>
      <c r="F757" s="285">
        <v>321903</v>
      </c>
      <c r="G757" s="14">
        <f>0+'[1]táj.2'!G757</f>
        <v>0</v>
      </c>
      <c r="H757" s="14">
        <f>0+'[1]táj.2'!H757</f>
        <v>0</v>
      </c>
      <c r="I757" s="14">
        <f>0+'[1]táj.2'!I757</f>
        <v>0</v>
      </c>
      <c r="J757" s="14">
        <f>0+'[1]táj.2'!J757</f>
        <v>0</v>
      </c>
      <c r="K757" s="14">
        <f>10000+'[1]táj.2'!K757</f>
        <v>10000</v>
      </c>
      <c r="L757" s="14">
        <f>0+'[1]táj.2'!L757</f>
        <v>0</v>
      </c>
      <c r="M757" s="14">
        <f>0+'[1]táj.2'!M757</f>
        <v>0</v>
      </c>
      <c r="N757" s="14">
        <f>0+'[1]táj.2'!N757</f>
        <v>0</v>
      </c>
      <c r="O757" s="14">
        <f>0+'[1]táj.2'!O757</f>
        <v>0</v>
      </c>
      <c r="P757" s="14">
        <f>0+'[1]táj.2'!P757</f>
        <v>0</v>
      </c>
      <c r="Q757" s="11">
        <f t="shared" si="46"/>
        <v>10000</v>
      </c>
    </row>
    <row r="758" spans="1:17" ht="15" customHeight="1">
      <c r="A758" s="70"/>
      <c r="B758" s="70"/>
      <c r="C758" s="127"/>
      <c r="D758" s="133" t="s">
        <v>701</v>
      </c>
      <c r="E758" s="389">
        <v>1</v>
      </c>
      <c r="F758" s="11">
        <v>321908</v>
      </c>
      <c r="G758" s="14">
        <f>0+'[1]táj.2'!G758</f>
        <v>0</v>
      </c>
      <c r="H758" s="14">
        <f>0+'[1]táj.2'!H758</f>
        <v>0</v>
      </c>
      <c r="I758" s="14">
        <f>0+'[1]táj.2'!I758</f>
        <v>0</v>
      </c>
      <c r="J758" s="14">
        <f>0+'[1]táj.2'!J758</f>
        <v>0</v>
      </c>
      <c r="K758" s="14">
        <f>15000+'[1]táj.2'!K758</f>
        <v>15000</v>
      </c>
      <c r="L758" s="14">
        <f>0+'[1]táj.2'!L758</f>
        <v>0</v>
      </c>
      <c r="M758" s="14">
        <f>0+'[1]táj.2'!M758</f>
        <v>0</v>
      </c>
      <c r="N758" s="14">
        <f>0+'[1]táj.2'!N758</f>
        <v>0</v>
      </c>
      <c r="O758" s="14">
        <f>0+'[1]táj.2'!O758</f>
        <v>0</v>
      </c>
      <c r="P758" s="14">
        <f>0+'[1]táj.2'!P758</f>
        <v>0</v>
      </c>
      <c r="Q758" s="11">
        <f t="shared" si="46"/>
        <v>15000</v>
      </c>
    </row>
    <row r="759" spans="1:17" ht="15" customHeight="1">
      <c r="A759" s="70"/>
      <c r="B759" s="70"/>
      <c r="C759" s="127"/>
      <c r="D759" s="271" t="s">
        <v>1161</v>
      </c>
      <c r="E759" s="389">
        <v>1</v>
      </c>
      <c r="F759" s="11">
        <v>321932</v>
      </c>
      <c r="G759" s="14">
        <f>0+'[1]táj.2'!G759</f>
        <v>0</v>
      </c>
      <c r="H759" s="14">
        <f>0+'[1]táj.2'!H759</f>
        <v>0</v>
      </c>
      <c r="I759" s="14">
        <f>0+'[1]táj.2'!I759</f>
        <v>0</v>
      </c>
      <c r="J759" s="14">
        <f>0+'[1]táj.2'!J759</f>
        <v>0</v>
      </c>
      <c r="K759" s="14">
        <f>10000+'[1]táj.2'!K759</f>
        <v>3293</v>
      </c>
      <c r="L759" s="14">
        <f>0+'[1]táj.2'!L759</f>
        <v>0</v>
      </c>
      <c r="M759" s="14">
        <f>0+'[1]táj.2'!M759</f>
        <v>0</v>
      </c>
      <c r="N759" s="14">
        <f>0+'[1]táj.2'!N759</f>
        <v>0</v>
      </c>
      <c r="O759" s="14">
        <f>0+'[1]táj.2'!O759</f>
        <v>0</v>
      </c>
      <c r="P759" s="14">
        <f>0+'[1]táj.2'!P759</f>
        <v>0</v>
      </c>
      <c r="Q759" s="11">
        <f t="shared" si="46"/>
        <v>3293</v>
      </c>
    </row>
    <row r="760" spans="1:17" ht="26.25" customHeight="1">
      <c r="A760" s="70"/>
      <c r="B760" s="70"/>
      <c r="C760" s="127"/>
      <c r="D760" s="276" t="s">
        <v>1160</v>
      </c>
      <c r="E760" s="388">
        <v>1</v>
      </c>
      <c r="F760" s="29">
        <v>321933</v>
      </c>
      <c r="G760" s="14">
        <f>0+'[1]táj.2'!G760</f>
        <v>0</v>
      </c>
      <c r="H760" s="14">
        <f>0+'[1]táj.2'!H760</f>
        <v>0</v>
      </c>
      <c r="I760" s="14">
        <f>0+'[1]táj.2'!I760</f>
        <v>0</v>
      </c>
      <c r="J760" s="14">
        <f>0+'[1]táj.2'!J760</f>
        <v>0</v>
      </c>
      <c r="K760" s="14">
        <f>110905+'[1]táj.2'!K760</f>
        <v>110852</v>
      </c>
      <c r="L760" s="14">
        <f>0+'[1]táj.2'!L760</f>
        <v>0</v>
      </c>
      <c r="M760" s="14">
        <f>0+'[1]táj.2'!M760</f>
        <v>0</v>
      </c>
      <c r="N760" s="14">
        <f>0+'[1]táj.2'!N760</f>
        <v>0</v>
      </c>
      <c r="O760" s="14">
        <f>0+'[1]táj.2'!O760</f>
        <v>0</v>
      </c>
      <c r="P760" s="14">
        <f>0+'[1]táj.2'!P760</f>
        <v>0</v>
      </c>
      <c r="Q760" s="11">
        <f t="shared" si="46"/>
        <v>110852</v>
      </c>
    </row>
    <row r="761" spans="1:17" ht="15" customHeight="1">
      <c r="A761" s="70"/>
      <c r="B761" s="70"/>
      <c r="C761" s="127"/>
      <c r="D761" s="277" t="s">
        <v>141</v>
      </c>
      <c r="E761" s="388">
        <v>1</v>
      </c>
      <c r="F761" s="29">
        <v>321934</v>
      </c>
      <c r="G761" s="14">
        <f>0+'[1]táj.2'!G761</f>
        <v>0</v>
      </c>
      <c r="H761" s="14">
        <f>0+'[1]táj.2'!H761</f>
        <v>0</v>
      </c>
      <c r="I761" s="14">
        <f>0+'[1]táj.2'!I761</f>
        <v>0</v>
      </c>
      <c r="J761" s="14">
        <f>0+'[1]táj.2'!J761</f>
        <v>0</v>
      </c>
      <c r="K761" s="14">
        <f>1723+'[1]táj.2'!K761</f>
        <v>1687</v>
      </c>
      <c r="L761" s="14">
        <f>0+'[1]táj.2'!L761</f>
        <v>0</v>
      </c>
      <c r="M761" s="14">
        <f>0+'[1]táj.2'!M761</f>
        <v>0</v>
      </c>
      <c r="N761" s="14">
        <f>0+'[1]táj.2'!N761</f>
        <v>0</v>
      </c>
      <c r="O761" s="14">
        <f>0+'[1]táj.2'!O761</f>
        <v>0</v>
      </c>
      <c r="P761" s="14">
        <f>0+'[1]táj.2'!P761</f>
        <v>0</v>
      </c>
      <c r="Q761" s="11">
        <f t="shared" si="46"/>
        <v>1687</v>
      </c>
    </row>
    <row r="762" spans="1:17" ht="15" customHeight="1">
      <c r="A762" s="70"/>
      <c r="B762" s="70"/>
      <c r="C762" s="127"/>
      <c r="D762" s="114" t="s">
        <v>742</v>
      </c>
      <c r="E762" s="388">
        <v>1</v>
      </c>
      <c r="F762" s="29">
        <v>321911</v>
      </c>
      <c r="G762" s="14">
        <f>0+'[1]táj.2'!G762</f>
        <v>0</v>
      </c>
      <c r="H762" s="14">
        <f>0+'[1]táj.2'!H762</f>
        <v>0</v>
      </c>
      <c r="I762" s="14">
        <f>0+'[1]táj.2'!I762</f>
        <v>0</v>
      </c>
      <c r="J762" s="14">
        <f>0+'[1]táj.2'!J762</f>
        <v>0</v>
      </c>
      <c r="K762" s="14">
        <f>40000+'[1]táj.2'!K762</f>
        <v>40000</v>
      </c>
      <c r="L762" s="14">
        <f>0+'[1]táj.2'!L762</f>
        <v>0</v>
      </c>
      <c r="M762" s="14">
        <f>0+'[1]táj.2'!M762</f>
        <v>0</v>
      </c>
      <c r="N762" s="14">
        <f>0+'[1]táj.2'!N762</f>
        <v>0</v>
      </c>
      <c r="O762" s="14">
        <f>0+'[1]táj.2'!O762</f>
        <v>0</v>
      </c>
      <c r="P762" s="14">
        <f>0+'[1]táj.2'!P762</f>
        <v>0</v>
      </c>
      <c r="Q762" s="11">
        <f t="shared" si="46"/>
        <v>40000</v>
      </c>
    </row>
    <row r="763" spans="1:17" ht="18.75" customHeight="1">
      <c r="A763" s="70"/>
      <c r="B763" s="70"/>
      <c r="C763" s="127"/>
      <c r="D763" s="95" t="s">
        <v>218</v>
      </c>
      <c r="E763" s="388">
        <v>1</v>
      </c>
      <c r="F763" s="29">
        <v>321909</v>
      </c>
      <c r="G763" s="14">
        <f>0+'[1]táj.2'!G763</f>
        <v>0</v>
      </c>
      <c r="H763" s="14">
        <f>0+'[1]táj.2'!H763</f>
        <v>0</v>
      </c>
      <c r="I763" s="14">
        <f>0+'[1]táj.2'!I763</f>
        <v>0</v>
      </c>
      <c r="J763" s="14">
        <f>0+'[1]táj.2'!J763</f>
        <v>0</v>
      </c>
      <c r="K763" s="14">
        <f>45000+'[1]táj.2'!K763</f>
        <v>45000</v>
      </c>
      <c r="L763" s="14">
        <f>0+'[1]táj.2'!L763</f>
        <v>0</v>
      </c>
      <c r="M763" s="14">
        <f>0+'[1]táj.2'!M763</f>
        <v>0</v>
      </c>
      <c r="N763" s="14">
        <f>0+'[1]táj.2'!N763</f>
        <v>0</v>
      </c>
      <c r="O763" s="14">
        <f>0+'[1]táj.2'!O763</f>
        <v>0</v>
      </c>
      <c r="P763" s="14">
        <f>0+'[1]táj.2'!P763</f>
        <v>0</v>
      </c>
      <c r="Q763" s="11">
        <f t="shared" si="46"/>
        <v>45000</v>
      </c>
    </row>
    <row r="764" spans="1:17" ht="13.5" customHeight="1">
      <c r="A764" s="70"/>
      <c r="B764" s="70"/>
      <c r="C764" s="127"/>
      <c r="D764" s="278" t="s">
        <v>1241</v>
      </c>
      <c r="E764" s="10"/>
      <c r="F764" s="11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1"/>
    </row>
    <row r="765" spans="1:17" ht="15.75" customHeight="1">
      <c r="A765" s="70"/>
      <c r="B765" s="70"/>
      <c r="C765" s="127" t="s">
        <v>577</v>
      </c>
      <c r="D765" s="279" t="s">
        <v>600</v>
      </c>
      <c r="E765" s="10">
        <v>1</v>
      </c>
      <c r="F765" s="11">
        <v>324902</v>
      </c>
      <c r="G765" s="14">
        <f>0+'[1]táj.2'!G765</f>
        <v>0</v>
      </c>
      <c r="H765" s="14">
        <f>0+'[1]táj.2'!H765</f>
        <v>0</v>
      </c>
      <c r="I765" s="14">
        <f>0+'[1]táj.2'!I765</f>
        <v>0</v>
      </c>
      <c r="J765" s="14">
        <f>0+'[1]táj.2'!J765</f>
        <v>0</v>
      </c>
      <c r="K765" s="14">
        <f>0+'[1]táj.2'!K765</f>
        <v>0</v>
      </c>
      <c r="L765" s="14">
        <f>0+'[1]táj.2'!L765</f>
        <v>0</v>
      </c>
      <c r="M765" s="14">
        <f>12185+'[1]táj.2'!M765</f>
        <v>9939</v>
      </c>
      <c r="N765" s="14">
        <f>0+'[1]táj.2'!N765</f>
        <v>0</v>
      </c>
      <c r="O765" s="14">
        <f>0+'[1]táj.2'!O765</f>
        <v>0</v>
      </c>
      <c r="P765" s="14">
        <f>0+'[1]táj.2'!P765</f>
        <v>0</v>
      </c>
      <c r="Q765" s="11">
        <f>SUM(K765:P765)</f>
        <v>9939</v>
      </c>
    </row>
    <row r="766" spans="1:17" ht="27.75" customHeight="1">
      <c r="A766" s="70"/>
      <c r="B766" s="70"/>
      <c r="C766" s="127" t="s">
        <v>576</v>
      </c>
      <c r="D766" s="312" t="s">
        <v>38</v>
      </c>
      <c r="E766" s="10">
        <v>1</v>
      </c>
      <c r="F766" s="11">
        <v>322905</v>
      </c>
      <c r="G766" s="14">
        <f>0+'[1]táj.2'!G766</f>
        <v>0</v>
      </c>
      <c r="H766" s="14">
        <f>0+'[1]táj.2'!H766</f>
        <v>0</v>
      </c>
      <c r="I766" s="14">
        <f>0+'[1]táj.2'!I766</f>
        <v>0</v>
      </c>
      <c r="J766" s="14">
        <f>0+'[1]táj.2'!J766</f>
        <v>0</v>
      </c>
      <c r="K766" s="14">
        <f>0+'[1]táj.2'!K766</f>
        <v>0</v>
      </c>
      <c r="L766" s="14">
        <f>10000+'[1]táj.2'!L766</f>
        <v>10000</v>
      </c>
      <c r="M766" s="14">
        <f>0+'[1]táj.2'!M766</f>
        <v>0</v>
      </c>
      <c r="N766" s="14">
        <f>0+'[1]táj.2'!N766</f>
        <v>0</v>
      </c>
      <c r="O766" s="14">
        <f>0+'[1]táj.2'!O766</f>
        <v>0</v>
      </c>
      <c r="P766" s="14">
        <f>0+'[1]táj.2'!P766</f>
        <v>0</v>
      </c>
      <c r="Q766" s="11">
        <f>SUM(K766:P766)</f>
        <v>10000</v>
      </c>
    </row>
    <row r="767" spans="1:17" ht="24" customHeight="1">
      <c r="A767" s="70"/>
      <c r="B767" s="70"/>
      <c r="C767" s="127" t="s">
        <v>578</v>
      </c>
      <c r="D767" s="796" t="s">
        <v>702</v>
      </c>
      <c r="E767" s="10">
        <v>1</v>
      </c>
      <c r="F767" s="11">
        <v>322904</v>
      </c>
      <c r="G767" s="14">
        <f>0+'[1]táj.2'!G767</f>
        <v>0</v>
      </c>
      <c r="H767" s="14">
        <f>0+'[1]táj.2'!H767</f>
        <v>0</v>
      </c>
      <c r="I767" s="14">
        <f>0+'[1]táj.2'!I767</f>
        <v>0</v>
      </c>
      <c r="J767" s="14">
        <f>0+'[1]táj.2'!J767</f>
        <v>0</v>
      </c>
      <c r="K767" s="14">
        <f>0+'[1]táj.2'!K767</f>
        <v>0</v>
      </c>
      <c r="L767" s="14">
        <f>10000+'[1]táj.2'!L767</f>
        <v>0</v>
      </c>
      <c r="M767" s="14">
        <f>0+'[1]táj.2'!M767</f>
        <v>0</v>
      </c>
      <c r="N767" s="14">
        <f>0+'[1]táj.2'!N767</f>
        <v>0</v>
      </c>
      <c r="O767" s="14">
        <f>0+'[1]táj.2'!O767</f>
        <v>0</v>
      </c>
      <c r="P767" s="14">
        <f>0+'[1]táj.2'!P767</f>
        <v>0</v>
      </c>
      <c r="Q767" s="11">
        <f>SUM(K767:P767)</f>
        <v>0</v>
      </c>
    </row>
    <row r="768" spans="1:17" ht="15.75" customHeight="1">
      <c r="A768" s="65"/>
      <c r="B768" s="65"/>
      <c r="C768" s="126"/>
      <c r="D768" s="104" t="s">
        <v>335</v>
      </c>
      <c r="E768" s="385"/>
      <c r="F768" s="65"/>
      <c r="G768" s="8">
        <f aca="true" t="shared" si="47" ref="G768:Q768">SUM(G754:G767)</f>
        <v>0</v>
      </c>
      <c r="H768" s="8">
        <f t="shared" si="47"/>
        <v>0</v>
      </c>
      <c r="I768" s="8">
        <f t="shared" si="47"/>
        <v>0</v>
      </c>
      <c r="J768" s="8">
        <f t="shared" si="47"/>
        <v>0</v>
      </c>
      <c r="K768" s="8">
        <f t="shared" si="47"/>
        <v>273232</v>
      </c>
      <c r="L768" s="8">
        <f t="shared" si="47"/>
        <v>10000</v>
      </c>
      <c r="M768" s="8">
        <f t="shared" si="47"/>
        <v>9939</v>
      </c>
      <c r="N768" s="8">
        <f t="shared" si="47"/>
        <v>0</v>
      </c>
      <c r="O768" s="8">
        <f t="shared" si="47"/>
        <v>0</v>
      </c>
      <c r="P768" s="8">
        <f t="shared" si="47"/>
        <v>0</v>
      </c>
      <c r="Q768" s="8">
        <f t="shared" si="47"/>
        <v>293171</v>
      </c>
    </row>
    <row r="769" spans="1:17" ht="21.75" customHeight="1">
      <c r="A769" s="65"/>
      <c r="B769" s="65"/>
      <c r="C769" s="126"/>
      <c r="D769" s="177" t="s">
        <v>1015</v>
      </c>
      <c r="E769" s="397"/>
      <c r="F769" s="399"/>
      <c r="G769" s="93">
        <f aca="true" t="shared" si="48" ref="G769:Q769">SUM(G46+G213+G226+G468+G629+G654+G675+G705+G752+G768+G708)</f>
        <v>221860</v>
      </c>
      <c r="H769" s="93">
        <f t="shared" si="48"/>
        <v>54012</v>
      </c>
      <c r="I769" s="93">
        <f t="shared" si="48"/>
        <v>6351143</v>
      </c>
      <c r="J769" s="93">
        <f t="shared" si="48"/>
        <v>94950</v>
      </c>
      <c r="K769" s="93">
        <f t="shared" si="48"/>
        <v>2040616</v>
      </c>
      <c r="L769" s="93">
        <f t="shared" si="48"/>
        <v>20796708</v>
      </c>
      <c r="M769" s="93">
        <f t="shared" si="48"/>
        <v>4181500</v>
      </c>
      <c r="N769" s="93">
        <f t="shared" si="48"/>
        <v>233275</v>
      </c>
      <c r="O769" s="93">
        <f t="shared" si="48"/>
        <v>74052</v>
      </c>
      <c r="P769" s="93">
        <f t="shared" si="48"/>
        <v>2914014</v>
      </c>
      <c r="Q769" s="93">
        <f t="shared" si="48"/>
        <v>36962130</v>
      </c>
    </row>
    <row r="770" spans="1:17" ht="15.75" customHeight="1">
      <c r="A770" s="70"/>
      <c r="B770" s="70"/>
      <c r="C770" s="70"/>
      <c r="D770" s="171" t="s">
        <v>1186</v>
      </c>
      <c r="E770" s="384"/>
      <c r="F770" s="70"/>
      <c r="G770" s="797">
        <f>3814776+'[1]táj.4'!C21</f>
        <v>3841263</v>
      </c>
      <c r="H770" s="797">
        <f>780994+'[1]táj.4'!D21</f>
        <v>786159</v>
      </c>
      <c r="I770" s="797">
        <f>2396893+'[1]táj.4'!E21</f>
        <v>2406788</v>
      </c>
      <c r="J770" s="797">
        <f>1000+'[1]táj.4'!F21</f>
        <v>3400</v>
      </c>
      <c r="K770" s="797">
        <f>63403+'[1]táj.4'!G21</f>
        <v>63403</v>
      </c>
      <c r="L770" s="797">
        <f>91455+'[1]táj.4'!H21</f>
        <v>100451</v>
      </c>
      <c r="M770" s="797">
        <f>11916+'[1]táj.4'!I21</f>
        <v>22000</v>
      </c>
      <c r="N770" s="797">
        <f>0+'[1]táj.4'!J21</f>
        <v>0</v>
      </c>
      <c r="O770" s="797"/>
      <c r="P770" s="797">
        <f>0+'[1]táj.4'!K21</f>
        <v>0</v>
      </c>
      <c r="Q770" s="797">
        <f>SUM(G770:P770)</f>
        <v>7223464</v>
      </c>
    </row>
    <row r="771" spans="1:17" ht="15.75" customHeight="1">
      <c r="A771" s="65"/>
      <c r="B771" s="65"/>
      <c r="C771" s="126"/>
      <c r="D771" s="104" t="s">
        <v>1174</v>
      </c>
      <c r="E771" s="398"/>
      <c r="F771" s="65"/>
      <c r="G771" s="35">
        <f aca="true" t="shared" si="49" ref="G771:Q771">SUM(G769:G770)</f>
        <v>4063123</v>
      </c>
      <c r="H771" s="35">
        <f t="shared" si="49"/>
        <v>840171</v>
      </c>
      <c r="I771" s="35">
        <f t="shared" si="49"/>
        <v>8757931</v>
      </c>
      <c r="J771" s="35">
        <f t="shared" si="49"/>
        <v>98350</v>
      </c>
      <c r="K771" s="35">
        <f t="shared" si="49"/>
        <v>2104019</v>
      </c>
      <c r="L771" s="35">
        <f t="shared" si="49"/>
        <v>20897159</v>
      </c>
      <c r="M771" s="35">
        <f t="shared" si="49"/>
        <v>4203500</v>
      </c>
      <c r="N771" s="35">
        <f t="shared" si="49"/>
        <v>233275</v>
      </c>
      <c r="O771" s="35">
        <f t="shared" si="49"/>
        <v>74052</v>
      </c>
      <c r="P771" s="35">
        <f t="shared" si="49"/>
        <v>2914014</v>
      </c>
      <c r="Q771" s="35">
        <f t="shared" si="49"/>
        <v>44185594</v>
      </c>
    </row>
    <row r="773" spans="14:17" ht="12.75" customHeight="1">
      <c r="N773" s="516"/>
      <c r="O773" s="516"/>
      <c r="P773" s="516"/>
      <c r="Q773" s="314"/>
    </row>
    <row r="774" spans="15:16" ht="12">
      <c r="O774" s="798"/>
      <c r="P774" s="798"/>
    </row>
  </sheetData>
  <sheetProtection selectLockedCells="1" selectUnlockedCells="1"/>
  <mergeCells count="11">
    <mergeCell ref="O774:P774"/>
    <mergeCell ref="N773:P773"/>
    <mergeCell ref="F1:F2"/>
    <mergeCell ref="G1:N1"/>
    <mergeCell ref="O1:P1"/>
    <mergeCell ref="Q1:Q2"/>
    <mergeCell ref="A1:A2"/>
    <mergeCell ref="B1:B2"/>
    <mergeCell ref="D1:D2"/>
    <mergeCell ref="E1:E2"/>
    <mergeCell ref="C1:C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2019.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pane ySplit="2" topLeftCell="BM3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3.375" style="137" customWidth="1"/>
    <col min="2" max="2" width="39.625" style="137" customWidth="1"/>
    <col min="3" max="4" width="12.375" style="137" customWidth="1"/>
    <col min="5" max="5" width="7.625" style="137" customWidth="1"/>
    <col min="6" max="6" width="10.375" style="137" customWidth="1"/>
    <col min="7" max="7" width="12.00390625" style="137" customWidth="1"/>
    <col min="8" max="9" width="12.375" style="137" customWidth="1"/>
    <col min="10" max="10" width="12.875" style="137" customWidth="1"/>
    <col min="11" max="11" width="14.875" style="137" customWidth="1"/>
    <col min="12" max="12" width="12.00390625" style="137" customWidth="1"/>
    <col min="13" max="13" width="11.50390625" style="137" customWidth="1"/>
    <col min="14" max="16384" width="9.375" style="137" customWidth="1"/>
  </cols>
  <sheetData>
    <row r="1" spans="1:13" ht="12.75" customHeight="1">
      <c r="A1" s="530" t="s">
        <v>574</v>
      </c>
      <c r="B1" s="531" t="s">
        <v>857</v>
      </c>
      <c r="C1" s="549" t="s">
        <v>870</v>
      </c>
      <c r="D1" s="549"/>
      <c r="E1" s="549"/>
      <c r="F1" s="549"/>
      <c r="G1" s="549"/>
      <c r="H1" s="549"/>
      <c r="I1" s="549"/>
      <c r="J1" s="549" t="s">
        <v>1247</v>
      </c>
      <c r="K1" s="549"/>
      <c r="L1" s="549"/>
      <c r="M1" s="547" t="s">
        <v>1256</v>
      </c>
    </row>
    <row r="2" spans="1:13" s="138" customFormat="1" ht="78" customHeight="1">
      <c r="A2" s="530"/>
      <c r="B2" s="531"/>
      <c r="C2" s="156" t="s">
        <v>339</v>
      </c>
      <c r="D2" s="156" t="s">
        <v>340</v>
      </c>
      <c r="E2" s="110" t="s">
        <v>354</v>
      </c>
      <c r="F2" s="156" t="s">
        <v>1243</v>
      </c>
      <c r="G2" s="110" t="s">
        <v>1244</v>
      </c>
      <c r="H2" s="110" t="s">
        <v>1245</v>
      </c>
      <c r="I2" s="110" t="s">
        <v>1246</v>
      </c>
      <c r="J2" s="110" t="s">
        <v>872</v>
      </c>
      <c r="K2" s="110" t="s">
        <v>585</v>
      </c>
      <c r="L2" s="110" t="s">
        <v>876</v>
      </c>
      <c r="M2" s="548"/>
    </row>
    <row r="3" spans="1:13" ht="16.5" customHeight="1">
      <c r="A3" s="799" t="s">
        <v>576</v>
      </c>
      <c r="B3" s="800" t="s">
        <v>860</v>
      </c>
      <c r="C3" s="158">
        <f>0+'[1]táj.3'!C3</f>
        <v>0</v>
      </c>
      <c r="D3" s="158">
        <f>0+'[1]táj.3'!D3</f>
        <v>0</v>
      </c>
      <c r="E3" s="158">
        <f>0+'[1]táj.3'!E3</f>
        <v>0</v>
      </c>
      <c r="F3" s="158">
        <f>17300+'[1]táj.3'!F3</f>
        <v>17300</v>
      </c>
      <c r="G3" s="158">
        <f>0+'[1]táj.3'!G3</f>
        <v>0</v>
      </c>
      <c r="H3" s="158">
        <f>0+'[1]táj.3'!H3</f>
        <v>0</v>
      </c>
      <c r="I3" s="158">
        <f>0+'[1]táj.3'!I3</f>
        <v>0</v>
      </c>
      <c r="J3" s="158">
        <f>40000+'[1]táj.3'!J3</f>
        <v>40000</v>
      </c>
      <c r="K3" s="158">
        <f>1396048+'[1]táj.3'!K3</f>
        <v>1400027</v>
      </c>
      <c r="L3" s="158">
        <f>0+'[1]táj.3'!L3</f>
        <v>0</v>
      </c>
      <c r="M3" s="158">
        <f aca="true" t="shared" si="0" ref="M3:M20">SUM(C3:L3)</f>
        <v>1457327</v>
      </c>
    </row>
    <row r="4" spans="1:13" ht="16.5" customHeight="1">
      <c r="A4" s="799" t="s">
        <v>578</v>
      </c>
      <c r="B4" s="800" t="s">
        <v>803</v>
      </c>
      <c r="C4" s="158">
        <f>0+'[1]táj.3'!C4</f>
        <v>0</v>
      </c>
      <c r="D4" s="158">
        <f>0+'[1]táj.3'!D4</f>
        <v>0</v>
      </c>
      <c r="E4" s="158">
        <f>0+'[1]táj.3'!E4</f>
        <v>0</v>
      </c>
      <c r="F4" s="158">
        <f>422281+'[1]táj.3'!F4</f>
        <v>422281</v>
      </c>
      <c r="G4" s="158">
        <f>0+'[1]táj.3'!G4</f>
        <v>0</v>
      </c>
      <c r="H4" s="158">
        <f>0+'[1]táj.3'!H4</f>
        <v>0</v>
      </c>
      <c r="I4" s="158">
        <f>0+'[1]táj.3'!I4</f>
        <v>0</v>
      </c>
      <c r="J4" s="158">
        <f>0+'[1]táj.3'!J4</f>
        <v>0</v>
      </c>
      <c r="K4" s="158">
        <f>504594+'[1]táj.3'!K4</f>
        <v>504831</v>
      </c>
      <c r="L4" s="158">
        <f>0+'[1]táj.3'!L4</f>
        <v>0</v>
      </c>
      <c r="M4" s="158">
        <f t="shared" si="0"/>
        <v>927112</v>
      </c>
    </row>
    <row r="5" spans="1:13" ht="16.5" customHeight="1">
      <c r="A5" s="799" t="s">
        <v>579</v>
      </c>
      <c r="B5" s="800" t="s">
        <v>991</v>
      </c>
      <c r="C5" s="158">
        <f>10022+'[1]táj.3'!C5</f>
        <v>11322</v>
      </c>
      <c r="D5" s="158">
        <f>0+'[1]táj.3'!D5</f>
        <v>3200</v>
      </c>
      <c r="E5" s="158">
        <f>0+'[1]táj.3'!E5</f>
        <v>0</v>
      </c>
      <c r="F5" s="158">
        <f>58978+'[1]táj.3'!F5</f>
        <v>58978</v>
      </c>
      <c r="G5" s="158">
        <f>0+'[1]táj.3'!G5</f>
        <v>0</v>
      </c>
      <c r="H5" s="158">
        <f>0+'[1]táj.3'!H5</f>
        <v>0</v>
      </c>
      <c r="I5" s="158">
        <f>0+'[1]táj.3'!I5</f>
        <v>0</v>
      </c>
      <c r="J5" s="158">
        <f>18420+'[1]táj.3'!J5</f>
        <v>18420</v>
      </c>
      <c r="K5" s="158">
        <f>481875+'[1]táj.3'!K5</f>
        <v>484862</v>
      </c>
      <c r="L5" s="158">
        <f>0+'[1]táj.3'!L5</f>
        <v>0</v>
      </c>
      <c r="M5" s="158">
        <f t="shared" si="0"/>
        <v>576782</v>
      </c>
    </row>
    <row r="6" spans="1:13" ht="24" customHeight="1">
      <c r="A6" s="799" t="s">
        <v>554</v>
      </c>
      <c r="B6" s="374" t="s">
        <v>1203</v>
      </c>
      <c r="C6" s="158">
        <f>280703+'[1]táj.3'!C6</f>
        <v>280703</v>
      </c>
      <c r="D6" s="158">
        <f>0+'[1]táj.3'!D6</f>
        <v>0</v>
      </c>
      <c r="E6" s="158">
        <f>0+'[1]táj.3'!E6</f>
        <v>0</v>
      </c>
      <c r="F6" s="158">
        <f>0+'[1]táj.3'!F6</f>
        <v>0</v>
      </c>
      <c r="G6" s="158">
        <f>0+'[1]táj.3'!G6</f>
        <v>0</v>
      </c>
      <c r="H6" s="158">
        <f>0+'[1]táj.3'!H6</f>
        <v>0</v>
      </c>
      <c r="I6" s="158">
        <f>0+'[1]táj.3'!I6</f>
        <v>0</v>
      </c>
      <c r="J6" s="158">
        <f>3451+'[1]táj.3'!J6</f>
        <v>3451</v>
      </c>
      <c r="K6" s="158">
        <f>90201+'[1]táj.3'!K6</f>
        <v>90756</v>
      </c>
      <c r="L6" s="158">
        <f>0+'[1]táj.3'!L6</f>
        <v>0</v>
      </c>
      <c r="M6" s="158">
        <f t="shared" si="0"/>
        <v>374910</v>
      </c>
    </row>
    <row r="7" spans="1:13" ht="24" customHeight="1">
      <c r="A7" s="799" t="s">
        <v>553</v>
      </c>
      <c r="B7" s="374" t="s">
        <v>1204</v>
      </c>
      <c r="C7" s="158">
        <f>0+'[1]táj.3'!C7</f>
        <v>0</v>
      </c>
      <c r="D7" s="158">
        <f>0+'[1]táj.3'!D7</f>
        <v>0</v>
      </c>
      <c r="E7" s="158">
        <f>0+'[1]táj.3'!E7</f>
        <v>0</v>
      </c>
      <c r="F7" s="158">
        <f>0+'[1]táj.3'!F7</f>
        <v>0</v>
      </c>
      <c r="G7" s="158">
        <f>0+'[1]táj.3'!G7</f>
        <v>0</v>
      </c>
      <c r="H7" s="158">
        <f>0+'[1]táj.3'!H7</f>
        <v>0</v>
      </c>
      <c r="I7" s="158">
        <f>0+'[1]táj.3'!I7</f>
        <v>0</v>
      </c>
      <c r="J7" s="158">
        <f>12211+'[1]táj.3'!J7</f>
        <v>12211</v>
      </c>
      <c r="K7" s="158">
        <f>161824+'[1]táj.3'!K7</f>
        <v>173710</v>
      </c>
      <c r="L7" s="158">
        <f>0+'[1]táj.3'!L7</f>
        <v>0</v>
      </c>
      <c r="M7" s="158">
        <f t="shared" si="0"/>
        <v>185921</v>
      </c>
    </row>
    <row r="8" spans="1:13" ht="16.5" customHeight="1">
      <c r="A8" s="799" t="s">
        <v>555</v>
      </c>
      <c r="B8" s="161" t="s">
        <v>992</v>
      </c>
      <c r="C8" s="158">
        <f>4920+'[1]táj.3'!C8</f>
        <v>4920</v>
      </c>
      <c r="D8" s="158">
        <f>0+'[1]táj.3'!D8</f>
        <v>0</v>
      </c>
      <c r="E8" s="158">
        <f>0+'[1]táj.3'!E8</f>
        <v>0</v>
      </c>
      <c r="F8" s="158">
        <f>13054+'[1]táj.3'!F8</f>
        <v>13054</v>
      </c>
      <c r="G8" s="158">
        <f>0+'[1]táj.3'!G8</f>
        <v>0</v>
      </c>
      <c r="H8" s="158">
        <f>0+'[1]táj.3'!H8</f>
        <v>0</v>
      </c>
      <c r="I8" s="158">
        <f>0+'[1]táj.3'!I8</f>
        <v>0</v>
      </c>
      <c r="J8" s="158">
        <f>12883+'[1]táj.3'!J8</f>
        <v>12883</v>
      </c>
      <c r="K8" s="158">
        <f>314372+'[1]táj.3'!K8</f>
        <v>314979</v>
      </c>
      <c r="L8" s="158">
        <f>0+'[1]táj.3'!L8</f>
        <v>0</v>
      </c>
      <c r="M8" s="158">
        <f t="shared" si="0"/>
        <v>345836</v>
      </c>
    </row>
    <row r="9" spans="1:13" ht="16.5" customHeight="1">
      <c r="A9" s="799" t="s">
        <v>557</v>
      </c>
      <c r="B9" s="161" t="s">
        <v>1005</v>
      </c>
      <c r="C9" s="158">
        <f>3238+'[1]táj.3'!C9</f>
        <v>3238</v>
      </c>
      <c r="D9" s="158">
        <f>0+'[1]táj.3'!D9</f>
        <v>0</v>
      </c>
      <c r="E9" s="158">
        <f>0+'[1]táj.3'!E9</f>
        <v>0</v>
      </c>
      <c r="F9" s="158">
        <f>13628+'[1]táj.3'!F9</f>
        <v>13628</v>
      </c>
      <c r="G9" s="158">
        <f>0+'[1]táj.3'!G9</f>
        <v>0</v>
      </c>
      <c r="H9" s="158">
        <f>0+'[1]táj.3'!H9</f>
        <v>0</v>
      </c>
      <c r="I9" s="158">
        <f>0+'[1]táj.3'!I9</f>
        <v>0</v>
      </c>
      <c r="J9" s="158">
        <f>2033+'[1]táj.3'!J9</f>
        <v>2033</v>
      </c>
      <c r="K9" s="158">
        <f>297468+'[1]táj.3'!K9</f>
        <v>297503</v>
      </c>
      <c r="L9" s="158">
        <f>0+'[1]táj.3'!L9</f>
        <v>0</v>
      </c>
      <c r="M9" s="158">
        <f t="shared" si="0"/>
        <v>316402</v>
      </c>
    </row>
    <row r="10" spans="1:13" ht="16.5" customHeight="1">
      <c r="A10" s="799" t="s">
        <v>559</v>
      </c>
      <c r="B10" s="161" t="s">
        <v>1006</v>
      </c>
      <c r="C10" s="158">
        <f>6024+'[1]táj.3'!C10</f>
        <v>6024</v>
      </c>
      <c r="D10" s="158">
        <f>0+'[1]táj.3'!D10</f>
        <v>0</v>
      </c>
      <c r="E10" s="158">
        <f>0+'[1]táj.3'!E10</f>
        <v>0</v>
      </c>
      <c r="F10" s="158">
        <f>16186+'[1]táj.3'!F10</f>
        <v>16186</v>
      </c>
      <c r="G10" s="158">
        <f>0+'[1]táj.3'!G10</f>
        <v>0</v>
      </c>
      <c r="H10" s="158">
        <f>0+'[1]táj.3'!H10</f>
        <v>0</v>
      </c>
      <c r="I10" s="158">
        <f>0+'[1]táj.3'!I10</f>
        <v>0</v>
      </c>
      <c r="J10" s="158">
        <f>6461+'[1]táj.3'!J10</f>
        <v>6461</v>
      </c>
      <c r="K10" s="158">
        <f>324841+'[1]táj.3'!K10</f>
        <v>324875</v>
      </c>
      <c r="L10" s="158">
        <f>0+'[1]táj.3'!L10</f>
        <v>0</v>
      </c>
      <c r="M10" s="158">
        <f t="shared" si="0"/>
        <v>353546</v>
      </c>
    </row>
    <row r="11" spans="1:13" ht="16.5" customHeight="1">
      <c r="A11" s="799" t="s">
        <v>420</v>
      </c>
      <c r="B11" s="161" t="s">
        <v>1007</v>
      </c>
      <c r="C11" s="158">
        <f>4336+'[1]táj.3'!C11</f>
        <v>4336</v>
      </c>
      <c r="D11" s="158">
        <f>0+'[1]táj.3'!D11</f>
        <v>0</v>
      </c>
      <c r="E11" s="158">
        <f>0+'[1]táj.3'!E11</f>
        <v>0</v>
      </c>
      <c r="F11" s="158">
        <f>10825+'[1]táj.3'!F11</f>
        <v>10825</v>
      </c>
      <c r="G11" s="158">
        <f>0+'[1]táj.3'!G11</f>
        <v>0</v>
      </c>
      <c r="H11" s="158">
        <f>0+'[1]táj.3'!H11</f>
        <v>0</v>
      </c>
      <c r="I11" s="158">
        <f>0+'[1]táj.3'!I11</f>
        <v>0</v>
      </c>
      <c r="J11" s="158">
        <f>9632+'[1]táj.3'!J11</f>
        <v>9632</v>
      </c>
      <c r="K11" s="158">
        <f>298983+'[1]táj.3'!K11</f>
        <v>299014</v>
      </c>
      <c r="L11" s="158">
        <f>0+'[1]táj.3'!L11</f>
        <v>0</v>
      </c>
      <c r="M11" s="158">
        <f t="shared" si="0"/>
        <v>323807</v>
      </c>
    </row>
    <row r="12" spans="1:13" ht="18" customHeight="1">
      <c r="A12" s="799" t="s">
        <v>421</v>
      </c>
      <c r="B12" s="161" t="s">
        <v>1205</v>
      </c>
      <c r="C12" s="158">
        <f>12251+'[1]táj.3'!C12</f>
        <v>12251</v>
      </c>
      <c r="D12" s="158">
        <f>0+'[1]táj.3'!D12</f>
        <v>0</v>
      </c>
      <c r="E12" s="158">
        <f>0+'[1]táj.3'!E12</f>
        <v>0</v>
      </c>
      <c r="F12" s="158">
        <f>1+'[1]táj.3'!F12</f>
        <v>1</v>
      </c>
      <c r="G12" s="158">
        <f>0+'[1]táj.3'!G12</f>
        <v>0</v>
      </c>
      <c r="H12" s="158">
        <f>0+'[1]táj.3'!H12</f>
        <v>0</v>
      </c>
      <c r="I12" s="158">
        <f>0+'[1]táj.3'!I12</f>
        <v>0</v>
      </c>
      <c r="J12" s="158">
        <f>200+'[1]táj.3'!J12</f>
        <v>200</v>
      </c>
      <c r="K12" s="158">
        <f>37712+'[1]táj.3'!K12</f>
        <v>37760</v>
      </c>
      <c r="L12" s="158">
        <f>0+'[1]táj.3'!L12</f>
        <v>0</v>
      </c>
      <c r="M12" s="158">
        <f t="shared" si="0"/>
        <v>50212</v>
      </c>
    </row>
    <row r="13" spans="1:13" ht="16.5" customHeight="1">
      <c r="A13" s="799" t="s">
        <v>422</v>
      </c>
      <c r="B13" s="801" t="s">
        <v>988</v>
      </c>
      <c r="C13" s="158">
        <f>8732+'[1]táj.3'!C13</f>
        <v>8732</v>
      </c>
      <c r="D13" s="158">
        <f>0+'[1]táj.3'!D13</f>
        <v>6900</v>
      </c>
      <c r="E13" s="158">
        <f>0+'[1]táj.3'!E13</f>
        <v>0</v>
      </c>
      <c r="F13" s="158">
        <f>83000+'[1]táj.3'!F13</f>
        <v>83000</v>
      </c>
      <c r="G13" s="158">
        <f>0+'[1]táj.3'!G13</f>
        <v>0</v>
      </c>
      <c r="H13" s="158">
        <f>0+'[1]táj.3'!H13</f>
        <v>0</v>
      </c>
      <c r="I13" s="158">
        <f>0+'[1]táj.3'!I13</f>
        <v>0</v>
      </c>
      <c r="J13" s="158">
        <f>72699+'[1]táj.3'!J13</f>
        <v>72699</v>
      </c>
      <c r="K13" s="158">
        <f>200305+'[1]táj.3'!K13</f>
        <v>204445</v>
      </c>
      <c r="L13" s="158">
        <f>0+'[1]táj.3'!L13</f>
        <v>0</v>
      </c>
      <c r="M13" s="158">
        <f t="shared" si="0"/>
        <v>375776</v>
      </c>
    </row>
    <row r="14" spans="1:13" ht="27" customHeight="1">
      <c r="A14" s="799" t="s">
        <v>423</v>
      </c>
      <c r="B14" s="374" t="s">
        <v>1008</v>
      </c>
      <c r="C14" s="158">
        <f>0+'[1]táj.3'!C14</f>
        <v>0</v>
      </c>
      <c r="D14" s="158">
        <f>0+'[1]táj.3'!D14</f>
        <v>0</v>
      </c>
      <c r="E14" s="158">
        <f>0+'[1]táj.3'!E14</f>
        <v>0</v>
      </c>
      <c r="F14" s="158">
        <f>1500+'[1]táj.3'!F14</f>
        <v>1500</v>
      </c>
      <c r="G14" s="158">
        <f>0+'[1]táj.3'!G14</f>
        <v>0</v>
      </c>
      <c r="H14" s="158">
        <f>0+'[1]táj.3'!H14</f>
        <v>0</v>
      </c>
      <c r="I14" s="158">
        <f>0+'[1]táj.3'!I14</f>
        <v>0</v>
      </c>
      <c r="J14" s="158">
        <f>0+'[1]táj.3'!J14</f>
        <v>0</v>
      </c>
      <c r="K14" s="158">
        <f>18481+'[1]táj.3'!K14</f>
        <v>18481</v>
      </c>
      <c r="L14" s="158">
        <f>0+'[1]táj.3'!L14</f>
        <v>0</v>
      </c>
      <c r="M14" s="158">
        <f t="shared" si="0"/>
        <v>19981</v>
      </c>
    </row>
    <row r="15" spans="1:13" ht="16.5" customHeight="1">
      <c r="A15" s="799" t="s">
        <v>424</v>
      </c>
      <c r="B15" s="161" t="s">
        <v>989</v>
      </c>
      <c r="C15" s="158">
        <f>1318+'[1]táj.3'!C15</f>
        <v>1318</v>
      </c>
      <c r="D15" s="158">
        <f>0+'[1]táj.3'!D15</f>
        <v>0</v>
      </c>
      <c r="E15" s="158">
        <f>0+'[1]táj.3'!E15</f>
        <v>0</v>
      </c>
      <c r="F15" s="158">
        <f>28000+'[1]táj.3'!F15</f>
        <v>28000</v>
      </c>
      <c r="G15" s="158">
        <f>0+'[1]táj.3'!G15</f>
        <v>0</v>
      </c>
      <c r="H15" s="158">
        <f>0+'[1]táj.3'!H15</f>
        <v>0</v>
      </c>
      <c r="I15" s="158">
        <f>0+'[1]táj.3'!I15</f>
        <v>0</v>
      </c>
      <c r="J15" s="158">
        <f>28124+'[1]táj.3'!J15</f>
        <v>28124</v>
      </c>
      <c r="K15" s="158">
        <f>379151+'[1]táj.3'!K15</f>
        <v>385966</v>
      </c>
      <c r="L15" s="158">
        <f>0+'[1]táj.3'!L15</f>
        <v>0</v>
      </c>
      <c r="M15" s="158">
        <f t="shared" si="0"/>
        <v>443408</v>
      </c>
    </row>
    <row r="16" spans="1:13" ht="16.5" customHeight="1">
      <c r="A16" s="799" t="s">
        <v>425</v>
      </c>
      <c r="B16" s="161" t="s">
        <v>990</v>
      </c>
      <c r="C16" s="158">
        <f>0+'[1]táj.3'!C16</f>
        <v>0</v>
      </c>
      <c r="D16" s="158">
        <f>0+'[1]táj.3'!D16</f>
        <v>0</v>
      </c>
      <c r="E16" s="158">
        <f>0+'[1]táj.3'!E16</f>
        <v>0</v>
      </c>
      <c r="F16" s="158">
        <f>173387+'[1]táj.3'!F16</f>
        <v>173387</v>
      </c>
      <c r="G16" s="158">
        <f>0+'[1]táj.3'!G16</f>
        <v>0</v>
      </c>
      <c r="H16" s="158">
        <f>0+'[1]táj.3'!H16</f>
        <v>0</v>
      </c>
      <c r="I16" s="158">
        <f>0+'[1]táj.3'!I16</f>
        <v>0</v>
      </c>
      <c r="J16" s="158">
        <f>52437+'[1]táj.3'!J16</f>
        <v>52437</v>
      </c>
      <c r="K16" s="158">
        <f>149515+'[1]táj.3'!K16</f>
        <v>152640</v>
      </c>
      <c r="L16" s="158">
        <f>0+'[1]táj.3'!L16</f>
        <v>0</v>
      </c>
      <c r="M16" s="158">
        <f t="shared" si="0"/>
        <v>378464</v>
      </c>
    </row>
    <row r="17" spans="1:13" ht="16.5" customHeight="1">
      <c r="A17" s="799" t="s">
        <v>563</v>
      </c>
      <c r="B17" s="161" t="s">
        <v>1009</v>
      </c>
      <c r="C17" s="158">
        <f>0+'[1]táj.3'!C17</f>
        <v>0</v>
      </c>
      <c r="D17" s="158">
        <f>0+'[1]táj.3'!D17</f>
        <v>0</v>
      </c>
      <c r="E17" s="158">
        <f>0+'[1]táj.3'!E17</f>
        <v>0</v>
      </c>
      <c r="F17" s="158">
        <f>223505+'[1]táj.3'!F17</f>
        <v>223505</v>
      </c>
      <c r="G17" s="158">
        <f>0+'[1]táj.3'!G17</f>
        <v>0</v>
      </c>
      <c r="H17" s="158">
        <f>76798+'[1]táj.3'!H17</f>
        <v>76798</v>
      </c>
      <c r="I17" s="158">
        <f>0+'[1]táj.3'!I17</f>
        <v>0</v>
      </c>
      <c r="J17" s="158">
        <f>15239+'[1]táj.3'!J17</f>
        <v>15239</v>
      </c>
      <c r="K17" s="158">
        <f>395501+'[1]táj.3'!K17</f>
        <v>401621</v>
      </c>
      <c r="L17" s="158">
        <f>0+'[1]táj.3'!L17</f>
        <v>0</v>
      </c>
      <c r="M17" s="158">
        <f t="shared" si="0"/>
        <v>717163</v>
      </c>
    </row>
    <row r="18" spans="1:13" ht="16.5" customHeight="1">
      <c r="A18" s="799" t="s">
        <v>426</v>
      </c>
      <c r="B18" s="161" t="s">
        <v>1010</v>
      </c>
      <c r="C18" s="158">
        <f>0+'[1]táj.3'!C18</f>
        <v>0</v>
      </c>
      <c r="D18" s="158">
        <f>0+'[1]táj.3'!D18</f>
        <v>0</v>
      </c>
      <c r="E18" s="158">
        <f>0+'[1]táj.3'!E18</f>
        <v>0</v>
      </c>
      <c r="F18" s="158">
        <f>28377+'[1]táj.3'!F18</f>
        <v>28377</v>
      </c>
      <c r="G18" s="158">
        <f>0+'[1]táj.3'!G18</f>
        <v>0</v>
      </c>
      <c r="H18" s="158">
        <f>12651+'[1]táj.3'!H18</f>
        <v>12651</v>
      </c>
      <c r="I18" s="158">
        <f>0+'[1]táj.3'!I18</f>
        <v>0</v>
      </c>
      <c r="J18" s="158">
        <f>6455+'[1]táj.3'!J18</f>
        <v>6455</v>
      </c>
      <c r="K18" s="158">
        <f>82643+'[1]táj.3'!K18</f>
        <v>83657</v>
      </c>
      <c r="L18" s="158">
        <f>0+'[1]táj.3'!L18</f>
        <v>0</v>
      </c>
      <c r="M18" s="158">
        <f t="shared" si="0"/>
        <v>131140</v>
      </c>
    </row>
    <row r="19" spans="1:13" ht="16.5" customHeight="1">
      <c r="A19" s="799" t="s">
        <v>427</v>
      </c>
      <c r="B19" s="161" t="s">
        <v>1207</v>
      </c>
      <c r="C19" s="158">
        <f>0+'[1]táj.3'!C19</f>
        <v>0</v>
      </c>
      <c r="D19" s="158">
        <f>0+'[1]táj.3'!D19</f>
        <v>0</v>
      </c>
      <c r="E19" s="158">
        <f>0+'[1]táj.3'!E19</f>
        <v>0</v>
      </c>
      <c r="F19" s="158">
        <f>52998+'[1]táj.3'!F19</f>
        <v>62998</v>
      </c>
      <c r="G19" s="158">
        <f>0+'[1]táj.3'!G19</f>
        <v>0</v>
      </c>
      <c r="H19" s="158">
        <f>0+'[1]táj.3'!H19</f>
        <v>0</v>
      </c>
      <c r="I19" s="158">
        <f>0+'[1]táj.3'!I19</f>
        <v>0</v>
      </c>
      <c r="J19" s="158">
        <f>16000+'[1]táj.3'!J19</f>
        <v>16000</v>
      </c>
      <c r="K19" s="158">
        <f>55835+'[1]táj.3'!K19</f>
        <v>55844</v>
      </c>
      <c r="L19" s="158">
        <f>0+'[1]táj.3'!L19</f>
        <v>0</v>
      </c>
      <c r="M19" s="158">
        <f t="shared" si="0"/>
        <v>134842</v>
      </c>
    </row>
    <row r="20" spans="1:13" ht="16.5" customHeight="1">
      <c r="A20" s="799" t="s">
        <v>1206</v>
      </c>
      <c r="B20" s="161" t="s">
        <v>1239</v>
      </c>
      <c r="C20" s="158">
        <f>0+'[1]táj.3'!C20</f>
        <v>0</v>
      </c>
      <c r="D20" s="158">
        <f>0+'[1]táj.3'!D20</f>
        <v>0</v>
      </c>
      <c r="E20" s="158">
        <f>0+'[1]táj.3'!E20</f>
        <v>0</v>
      </c>
      <c r="F20" s="158">
        <f>98869+'[1]táj.3'!F20</f>
        <v>98869</v>
      </c>
      <c r="G20" s="158">
        <f>0+'[1]táj.3'!G20</f>
        <v>0</v>
      </c>
      <c r="H20" s="158">
        <f>0+'[1]táj.3'!H20</f>
        <v>0</v>
      </c>
      <c r="I20" s="158">
        <f>0+'[1]táj.3'!I20</f>
        <v>0</v>
      </c>
      <c r="J20" s="158">
        <f>11961+'[1]táj.3'!J20</f>
        <v>11961</v>
      </c>
      <c r="K20" s="158">
        <f>0+'[1]táj.3'!K20</f>
        <v>5</v>
      </c>
      <c r="L20" s="158">
        <f>0+'[1]táj.3'!L20</f>
        <v>0</v>
      </c>
      <c r="M20" s="158">
        <f t="shared" si="0"/>
        <v>110835</v>
      </c>
    </row>
    <row r="21" spans="1:13" ht="14.25" customHeight="1">
      <c r="A21" s="163"/>
      <c r="B21" s="164" t="s">
        <v>338</v>
      </c>
      <c r="C21" s="165">
        <f aca="true" t="shared" si="1" ref="C21:M21">SUM(C3:C20)</f>
        <v>332844</v>
      </c>
      <c r="D21" s="165">
        <f t="shared" si="1"/>
        <v>10100</v>
      </c>
      <c r="E21" s="165">
        <f t="shared" si="1"/>
        <v>0</v>
      </c>
      <c r="F21" s="165">
        <f t="shared" si="1"/>
        <v>1251889</v>
      </c>
      <c r="G21" s="165">
        <f t="shared" si="1"/>
        <v>0</v>
      </c>
      <c r="H21" s="165">
        <f t="shared" si="1"/>
        <v>89449</v>
      </c>
      <c r="I21" s="165">
        <f t="shared" si="1"/>
        <v>0</v>
      </c>
      <c r="J21" s="165">
        <f t="shared" si="1"/>
        <v>308206</v>
      </c>
      <c r="K21" s="165">
        <f t="shared" si="1"/>
        <v>5230976</v>
      </c>
      <c r="L21" s="165">
        <f t="shared" si="1"/>
        <v>0</v>
      </c>
      <c r="M21" s="165">
        <f t="shared" si="1"/>
        <v>7223464</v>
      </c>
    </row>
    <row r="22" spans="3:11" ht="13.5" customHeight="1">
      <c r="C22" s="139"/>
      <c r="D22" s="139"/>
      <c r="E22" s="139"/>
      <c r="F22" s="139"/>
      <c r="G22" s="139"/>
      <c r="H22" s="139"/>
      <c r="I22" s="139"/>
      <c r="J22" s="139"/>
      <c r="K22" s="139"/>
    </row>
    <row r="23" spans="3:11" ht="13.5" customHeight="1">
      <c r="C23" s="139"/>
      <c r="D23" s="139"/>
      <c r="E23" s="139"/>
      <c r="F23" s="139"/>
      <c r="G23" s="139"/>
      <c r="H23" s="139"/>
      <c r="I23" s="139"/>
      <c r="J23" s="139"/>
      <c r="K23" s="139"/>
    </row>
    <row r="24" spans="3:11" ht="13.5" customHeight="1">
      <c r="C24" s="139"/>
      <c r="D24" s="139"/>
      <c r="E24" s="139"/>
      <c r="F24" s="139"/>
      <c r="G24" s="139"/>
      <c r="H24" s="139"/>
      <c r="I24" s="139"/>
      <c r="J24" s="139"/>
      <c r="K24" s="166"/>
    </row>
    <row r="25" spans="3:11" ht="13.5" customHeight="1">
      <c r="C25" s="139"/>
      <c r="D25" s="139"/>
      <c r="E25" s="139"/>
      <c r="F25" s="139"/>
      <c r="G25" s="139"/>
      <c r="H25" s="139"/>
      <c r="I25" s="139"/>
      <c r="J25" s="139"/>
      <c r="K25" s="166"/>
    </row>
    <row r="26" spans="3:11" ht="13.5" customHeight="1">
      <c r="C26" s="139"/>
      <c r="D26" s="139"/>
      <c r="E26" s="139"/>
      <c r="F26" s="139"/>
      <c r="G26" s="139"/>
      <c r="H26" s="139"/>
      <c r="I26" s="139"/>
      <c r="J26" s="139"/>
      <c r="K26" s="139"/>
    </row>
    <row r="27" ht="13.5" customHeight="1"/>
    <row r="28" ht="13.5" customHeight="1"/>
    <row r="29" ht="13.5" customHeight="1"/>
  </sheetData>
  <sheetProtection/>
  <mergeCells count="5">
    <mergeCell ref="M1:M2"/>
    <mergeCell ref="A1:A2"/>
    <mergeCell ref="B1:B2"/>
    <mergeCell ref="C1:I1"/>
    <mergeCell ref="J1:L1"/>
  </mergeCells>
  <printOptions horizontalCentered="1"/>
  <pageMargins left="0.1968503937007874" right="0.1968503937007874" top="1.6141732283464567" bottom="0.984251968503937" header="0.8661417322834646" footer="0.5118110236220472"/>
  <pageSetup fitToHeight="1" fitToWidth="1" horizontalDpi="300" verticalDpi="300" orientation="landscape" paperSize="9" scale="93" r:id="rId1"/>
  <headerFooter alignWithMargins="0">
    <oddHeader>&amp;C&amp;"Times New Roman,Félkövér dőlt"ZALAEGERSZEG  MEGYEI JOGÚ VÁROS ÖNKORMÁNYZATA ÁLTAL IRÁNYÍTOTT KÖLTSÉGVETÉSI SZERVEK
  2019.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dr. Kiss Viktória</cp:lastModifiedBy>
  <cp:lastPrinted>2019-04-24T07:24:29Z</cp:lastPrinted>
  <dcterms:created xsi:type="dcterms:W3CDTF">2002-12-30T13:12:46Z</dcterms:created>
  <dcterms:modified xsi:type="dcterms:W3CDTF">2019-04-24T07:24:34Z</dcterms:modified>
  <cp:category/>
  <cp:version/>
  <cp:contentType/>
  <cp:contentStatus/>
</cp:coreProperties>
</file>