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704" firstSheet="6" activeTab="13"/>
  </bookViews>
  <sheets>
    <sheet name="1. melléklet_címrend" sheetId="1" state="hidden" r:id="rId1"/>
    <sheet name="1. melléklet_BEVÉTEL_KIADÁS" sheetId="2" r:id="rId2"/>
    <sheet name="2.sz.m.Bevételek" sheetId="3" r:id="rId3"/>
    <sheet name="2.2.sz.mfelh.bev.részl" sheetId="4" state="hidden" r:id="rId4"/>
    <sheet name="3.Állami támogatás" sheetId="5" state="hidden" r:id="rId5"/>
    <sheet name="3.sz.m.Kiadások" sheetId="6" r:id="rId6"/>
    <sheet name="3.1.sz. m.pe átadás" sheetId="7" r:id="rId7"/>
    <sheet name="3.2.sz.m.felh.kiadás" sheetId="8" r:id="rId8"/>
    <sheet name="5.sz.Műk.c.átadott.pe. " sheetId="9" state="hidden" r:id="rId9"/>
    <sheet name="4.sz.adósság szolg." sheetId="10" r:id="rId10"/>
    <sheet name="5.sz.Pénzmaradvány elsz." sheetId="11" r:id="rId11"/>
    <sheet name="8.sz.Pénzmaradvány felosztása" sheetId="12" state="hidden" r:id="rId12"/>
    <sheet name="6.sz.Mérleg" sheetId="13" r:id="rId13"/>
    <sheet name="7.sz.Pénzforgalom" sheetId="14" r:id="rId14"/>
    <sheet name="8.sz Vagyonkimutatá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Titles" localSheetId="0">'1. melléklet_címrend'!$A:$B</definedName>
    <definedName name="_xlnm.Print_Titles" localSheetId="2">'2.sz.m.Bevételek'!$1:$3</definedName>
    <definedName name="_xlnm.Print_Area" localSheetId="1">'1. melléklet_BEVÉTEL_KIADÁS'!$A$1:$T$42</definedName>
    <definedName name="_xlnm.Print_Area" localSheetId="0">'1. melléklet_címrend'!$A$1:$CT$42</definedName>
    <definedName name="_xlnm.Print_Area" localSheetId="3">'2.2.sz.mfelh.bev.részl'!$A$1:$Q$25</definedName>
    <definedName name="_xlnm.Print_Area" localSheetId="2">'2.sz.m.Bevételek'!$A$1:$I$67</definedName>
    <definedName name="_xlnm.Print_Area" localSheetId="7">'3.2.sz.m.felh.kiadás'!$A$1:$U$56</definedName>
    <definedName name="_xlnm.Print_Area" localSheetId="4">'3.Állami támogatás'!$A$1:$J$62</definedName>
    <definedName name="_xlnm.Print_Area" localSheetId="5">'3.sz.m.Kiadások'!$A$1:$S$45</definedName>
    <definedName name="_xlnm.Print_Area" localSheetId="8">'5.sz.Műk.c.átadott.pe. '!$A$1:$R$42</definedName>
    <definedName name="_xlnm.Print_Area" localSheetId="13">'7.sz.Pénzforgalom'!$A$1:$F$61</definedName>
  </definedNames>
  <calcPr fullCalcOnLoad="1"/>
</workbook>
</file>

<file path=xl/comments11.xml><?xml version="1.0" encoding="utf-8"?>
<comments xmlns="http://schemas.openxmlformats.org/spreadsheetml/2006/main">
  <authors>
    <author>tothkatalin</author>
  </authors>
  <commentList>
    <comment ref="D20" authorId="0">
      <text>
        <r>
          <rPr>
            <b/>
            <sz val="8"/>
            <rFont val="Tahoma"/>
            <family val="2"/>
          </rPr>
          <t>tothkatalin:</t>
        </r>
        <r>
          <rPr>
            <sz val="8"/>
            <rFont val="Tahoma"/>
            <family val="2"/>
          </rPr>
          <t xml:space="preserve">
normatíva 604e
</t>
        </r>
      </text>
    </comment>
    <comment ref="C20" authorId="0">
      <text>
        <r>
          <rPr>
            <b/>
            <sz val="8"/>
            <rFont val="Tahoma"/>
            <family val="2"/>
          </rPr>
          <t>tothkatalin:</t>
        </r>
        <r>
          <rPr>
            <sz val="8"/>
            <rFont val="Tahoma"/>
            <family val="2"/>
          </rPr>
          <t xml:space="preserve">
normatíva 604e
</t>
        </r>
      </text>
    </comment>
  </commentList>
</comments>
</file>

<file path=xl/comments3.xml><?xml version="1.0" encoding="utf-8"?>
<comments xmlns="http://schemas.openxmlformats.org/spreadsheetml/2006/main">
  <authors>
    <author>fulopgyorgynemarika</author>
  </authors>
  <commentList>
    <comment ref="C42" authorId="0">
      <text>
        <r>
          <rPr>
            <b/>
            <sz val="8"/>
            <rFont val="Tahoma"/>
            <family val="2"/>
          </rPr>
          <t>fulopgyorgynemarika:</t>
        </r>
        <r>
          <rPr>
            <sz val="8"/>
            <rFont val="Tahoma"/>
            <family val="2"/>
          </rPr>
          <t xml:space="preserve">
Közlekedési támogatás :250 eFt
Remeteszőllőstöl :320 eFt
</t>
        </r>
      </text>
    </comment>
  </commentList>
</comments>
</file>

<file path=xl/sharedStrings.xml><?xml version="1.0" encoding="utf-8"?>
<sst xmlns="http://schemas.openxmlformats.org/spreadsheetml/2006/main" count="1013" uniqueCount="682">
  <si>
    <t>Élelmiszer beszerzés</t>
  </si>
  <si>
    <t>Vásárolt termékek és szolg.Áfa</t>
  </si>
  <si>
    <t>ÁFA befizetés</t>
  </si>
  <si>
    <t>Egyéb dologi kiadások</t>
  </si>
  <si>
    <t>Felhalmozási kiadások</t>
  </si>
  <si>
    <t>Pénzforgalom nélküli kiadások</t>
  </si>
  <si>
    <t xml:space="preserve">Álláshely </t>
  </si>
  <si>
    <t>Létszám fő:</t>
  </si>
  <si>
    <t>Gépjármű értékesítés</t>
  </si>
  <si>
    <t>Viziközmű bérleti díj (nettó)</t>
  </si>
  <si>
    <t>2012.évi 1.sz mód</t>
  </si>
  <si>
    <t>2012.félévi mód</t>
  </si>
  <si>
    <t>2012.évi 2.sz mód</t>
  </si>
  <si>
    <t>2012.évi 4.sz mód</t>
  </si>
  <si>
    <t>2012.évi 5.sz mód</t>
  </si>
  <si>
    <t>2012.évi 6.sz mód</t>
  </si>
  <si>
    <t>utáni terv</t>
  </si>
  <si>
    <t>Munkaadókat terhelő szociális adó</t>
  </si>
  <si>
    <t>31.</t>
  </si>
  <si>
    <t>32.</t>
  </si>
  <si>
    <t>33.</t>
  </si>
  <si>
    <t>34.</t>
  </si>
  <si>
    <t>35.</t>
  </si>
  <si>
    <t>36.</t>
  </si>
  <si>
    <t>Normatíva átadás</t>
  </si>
  <si>
    <t>Egyéb működési célú pénzeszköz átadás</t>
  </si>
  <si>
    <t>Működési tartalék</t>
  </si>
  <si>
    <t>Felhalmozási célú pénzeszköz átadás</t>
  </si>
  <si>
    <t>Befektetett pénzügyi eszközök (részesedés+tagi hitel)</t>
  </si>
  <si>
    <t>Nettó</t>
  </si>
  <si>
    <t>bruttó</t>
  </si>
  <si>
    <t>1.sz. mód.</t>
  </si>
  <si>
    <t>Félévi (3.sz) módosított előir.</t>
  </si>
  <si>
    <t>2.sz. mód.</t>
  </si>
  <si>
    <t>4.sz. mód.</t>
  </si>
  <si>
    <t>5.sz. mód.</t>
  </si>
  <si>
    <t>Háromnegyedéves</t>
  </si>
  <si>
    <t>Maradvány</t>
  </si>
  <si>
    <t>Kolozsvár u-i híd</t>
  </si>
  <si>
    <t>Ravatalozó</t>
  </si>
  <si>
    <t>Víziközmű beruházás</t>
  </si>
  <si>
    <t>III. BEFEKTETETT PÉNZÜGYI ESZKÖZÖK</t>
  </si>
  <si>
    <t>NATÜ Kft törzstőke</t>
  </si>
  <si>
    <t>NATÜ Kft tagi hitel</t>
  </si>
  <si>
    <t>Befektetett pénzügyi eszközök összesen:</t>
  </si>
  <si>
    <t xml:space="preserve">                                                          </t>
  </si>
  <si>
    <t>2012.évi</t>
  </si>
  <si>
    <t>1.sz mód.</t>
  </si>
  <si>
    <t>1.sz. módosított</t>
  </si>
  <si>
    <t>Félévi módosított</t>
  </si>
  <si>
    <t>2.sz mód.</t>
  </si>
  <si>
    <t>2.sz. módosított</t>
  </si>
  <si>
    <t>4.sz mód.</t>
  </si>
  <si>
    <t>4.sz. módosított</t>
  </si>
  <si>
    <t>5.sz mód.</t>
  </si>
  <si>
    <t>2. sz. mód.</t>
  </si>
  <si>
    <t>Nagykovácsi Alapfokú Művészeti Iskola</t>
  </si>
  <si>
    <t>Gr. Tisza István Nemzeti Kör</t>
  </si>
  <si>
    <t>Crosskovácsi SKE Bikeschool</t>
  </si>
  <si>
    <t>Nagykovácsi Regnum Marianum</t>
  </si>
  <si>
    <t>Linum Alapítvány (Nyugdíjas Klub+program+Hospice képzés)</t>
  </si>
  <si>
    <t>Nagykovácsi Zenei Alapítvány (Nagykovácsi Kórus+NAMI program+taneszköz fejl)</t>
  </si>
  <si>
    <t>Nagycsaládosok Nagykovácsi Csoportja</t>
  </si>
  <si>
    <t>Bázis Alapítvány</t>
  </si>
  <si>
    <t>CIVIL ALAP</t>
  </si>
  <si>
    <t>Nagykovácsi Utánpotlás Sport Egyesület</t>
  </si>
  <si>
    <t>Zsíroshegyi Kilátások Egyesület</t>
  </si>
  <si>
    <t>Képviselő úr sírköve</t>
  </si>
  <si>
    <t>Budakeszi Rendőrőrs</t>
  </si>
  <si>
    <t>Amalimpia</t>
  </si>
  <si>
    <t>Csatorna-és vízdíjtámogatás</t>
  </si>
  <si>
    <t>NATÜ Kft-nek tagi kölcsön</t>
  </si>
  <si>
    <t>Német Nemzetiségi Önkormányzat (Búcsú)</t>
  </si>
  <si>
    <t>Nagykovácsi Alkotóművészek Egyesülete</t>
  </si>
  <si>
    <t>NATÜ Kft-nek rendkívüli munkavégzésért</t>
  </si>
  <si>
    <t>Pest-Megyei Rendőrkapitányság</t>
  </si>
  <si>
    <t>Államháztartáson kívüli műk-i célú pénzeszköz átadás összesen   (1+..6):</t>
  </si>
  <si>
    <t>Pilis-Buda-Zsámbék TKT (logopédiai szakszolgálat) Solymárnak fizetendő</t>
  </si>
  <si>
    <t>Ezüstkor Szociális Gondozó Központ</t>
  </si>
  <si>
    <t>Pilis-Buda-Zsámbék TKT (pótbefizetés)</t>
  </si>
  <si>
    <t>Államháztartáson belüli műk-i célú pénzeszköz átadás összesen   (1+..3):</t>
  </si>
  <si>
    <t>Működési célú pénzeszköz átadás ÖSSZESEN:</t>
  </si>
  <si>
    <t>2012. évi</t>
  </si>
  <si>
    <t xml:space="preserve">Teljesülés </t>
  </si>
  <si>
    <t>Intézmény finanszírozás</t>
  </si>
  <si>
    <t>Finanszírozási kiadások összesen (14…17):</t>
  </si>
  <si>
    <t>Végleges működési pénzeszközátadások</t>
  </si>
  <si>
    <t>Tulajdonviszonyt megtestesítő értékpapírok kiadásai</t>
  </si>
  <si>
    <t>Közüzemi díjak</t>
  </si>
  <si>
    <t>Kamatkiadás</t>
  </si>
  <si>
    <t>Általános Iskola</t>
  </si>
  <si>
    <t>Öregiskola</t>
  </si>
  <si>
    <t>Önkormányzat</t>
  </si>
  <si>
    <t xml:space="preserve">Helyi lakosok felajánlása </t>
  </si>
  <si>
    <t>Idegenforgalmi adó tartózkodás után</t>
  </si>
  <si>
    <t>Iskola orvosi szolgálat</t>
  </si>
  <si>
    <t>2011.évi</t>
  </si>
  <si>
    <t>Mozgássérültek támogatása</t>
  </si>
  <si>
    <t xml:space="preserve">Egyéb sajátos  bevételek : lakbér </t>
  </si>
  <si>
    <t>Egyéb sajátos  bevételek :közterület foglalás</t>
  </si>
  <si>
    <t>Kispatak Óvoda</t>
  </si>
  <si>
    <t>Felhalmozási bevételek</t>
  </si>
  <si>
    <t>Likvid hitel felvétel</t>
  </si>
  <si>
    <t>Fejér György Alapítvány</t>
  </si>
  <si>
    <t>Nagykovácsi Sport Egyesület</t>
  </si>
  <si>
    <t>Nagykovácsi Készenléti Szolgálat</t>
  </si>
  <si>
    <t xml:space="preserve">        Érdekeltségnövelő támogatás</t>
  </si>
  <si>
    <t xml:space="preserve">        Lakossági víz-csatorna díjtámogatás</t>
  </si>
  <si>
    <t xml:space="preserve">        Sport infrastruktúra fejlesztés</t>
  </si>
  <si>
    <t xml:space="preserve">        Bérpolítikai intézkedések (kereset kiegészítés )</t>
  </si>
  <si>
    <t xml:space="preserve">        Esélyegyenlőséget segítő tám.</t>
  </si>
  <si>
    <t>II. BERUHÁZÁSOK</t>
  </si>
  <si>
    <t>Beruházások összesen:</t>
  </si>
  <si>
    <t>Felújítások összesen :</t>
  </si>
  <si>
    <t>Eredeti</t>
  </si>
  <si>
    <t>Módosított</t>
  </si>
  <si>
    <t>Kút utca 6/a 1978/4 hrsz építési telek</t>
  </si>
  <si>
    <t>NETTÓ</t>
  </si>
  <si>
    <t>ÁFA</t>
  </si>
  <si>
    <t>BRUTTÓ</t>
  </si>
  <si>
    <t>TELJESÍTÉS %
teljesítés/nettó</t>
  </si>
  <si>
    <t>2.sz. mód</t>
  </si>
  <si>
    <t>2.sz módosított</t>
  </si>
  <si>
    <t>4.sz. mód</t>
  </si>
  <si>
    <t>4.sz módosított</t>
  </si>
  <si>
    <t>5.sz. mód</t>
  </si>
  <si>
    <t>5.sz módosított</t>
  </si>
  <si>
    <t>6.sz. mód</t>
  </si>
  <si>
    <t>Kolozsvár tér 25.</t>
  </si>
  <si>
    <t xml:space="preserve">Rozmaring u. </t>
  </si>
  <si>
    <t>Általános Iskola elmaradt pályázati bevétel energetikai felúj.</t>
  </si>
  <si>
    <t>Kecskehát háttérfejlesztés</t>
  </si>
  <si>
    <t>Derogációs pályázat</t>
  </si>
  <si>
    <t>KMOP felszíni víz pályázat fel nem használt támogatásának visszautalása</t>
  </si>
  <si>
    <r>
      <t xml:space="preserve">Ber.c.tám.ért.Bev </t>
    </r>
    <r>
      <rPr>
        <b/>
        <sz val="8"/>
        <rFont val="Arial CE"/>
        <family val="0"/>
      </rPr>
      <t>(Bölcsöde)</t>
    </r>
  </si>
  <si>
    <r>
      <t xml:space="preserve">Ber.c.tám.ért.Bev </t>
    </r>
    <r>
      <rPr>
        <b/>
        <sz val="8"/>
        <rFont val="Arial CE"/>
        <family val="0"/>
      </rPr>
      <t>(Inkubátorház)</t>
    </r>
  </si>
  <si>
    <r>
      <t xml:space="preserve">Ber.c.tám.ért.Bev </t>
    </r>
    <r>
      <rPr>
        <b/>
        <sz val="8"/>
        <rFont val="Arial CE"/>
        <family val="0"/>
      </rPr>
      <t>(Biomassza)</t>
    </r>
  </si>
  <si>
    <r>
      <t xml:space="preserve">Ber.c.tám.ért.Bev </t>
    </r>
    <r>
      <rPr>
        <b/>
        <sz val="8"/>
        <rFont val="Arial CE"/>
        <family val="0"/>
      </rPr>
      <t>(Óvodabővítés-Kaszáló és Dózsa u.)</t>
    </r>
  </si>
  <si>
    <t>Eredeti előirányzat</t>
  </si>
  <si>
    <t>módosított előirányzat</t>
  </si>
  <si>
    <t xml:space="preserve"> e Ft</t>
  </si>
  <si>
    <t>módosított</t>
  </si>
  <si>
    <t>Ökotábor</t>
  </si>
  <si>
    <t>Módosított terv</t>
  </si>
  <si>
    <t>Teljesítés</t>
  </si>
  <si>
    <t>Teljesítés mód. tervhez</t>
  </si>
  <si>
    <t>6=5/4  %</t>
  </si>
  <si>
    <t>Teljesülés</t>
  </si>
  <si>
    <t>Teljesülés %-ban</t>
  </si>
  <si>
    <t>6=5/4 %</t>
  </si>
  <si>
    <t>Előző évi műk. C. pénzátvét alulfinaszírozás miatt</t>
  </si>
  <si>
    <t>Pénzbeni gyermekvédelmi támogatás</t>
  </si>
  <si>
    <t>Víziközmű Kft-től átvett pénzeszköz</t>
  </si>
  <si>
    <t>1.sz módosítás</t>
  </si>
  <si>
    <t>1.sz. módosítás után</t>
  </si>
  <si>
    <t>3. Félévi mód.</t>
  </si>
  <si>
    <t>3. Félévi mód. után</t>
  </si>
  <si>
    <t>Teljesítés %</t>
  </si>
  <si>
    <t>2.sz módosítás</t>
  </si>
  <si>
    <t>2.sz. módosítás után</t>
  </si>
  <si>
    <t>4.sz módosítás</t>
  </si>
  <si>
    <t>4.sz. módosítás után</t>
  </si>
  <si>
    <t>5.sz módosítás</t>
  </si>
  <si>
    <t>5.sz. módosítás után</t>
  </si>
  <si>
    <t>6.sz módosítás</t>
  </si>
  <si>
    <t>6.sz. módosítás után</t>
  </si>
  <si>
    <t>összesen (eFt)</t>
  </si>
  <si>
    <t>Bevételek Össszesen</t>
  </si>
  <si>
    <t>Halmozódásmentes (intézmény fin.nélkül)</t>
  </si>
  <si>
    <t>Önkorm.sajátos működ.bevét.</t>
  </si>
  <si>
    <t>Támogatás, átvett pénzeszk.</t>
  </si>
  <si>
    <t>Normatíva átvétel</t>
  </si>
  <si>
    <t>Átengedett központi adók (gépjárműadó)</t>
  </si>
  <si>
    <t>Intézményfinanszírozás</t>
  </si>
  <si>
    <t>Műk. Célú pénzeszközátvétel</t>
  </si>
  <si>
    <t>EU-s finanszírozás bevételei</t>
  </si>
  <si>
    <t>Felh.c.peszk.átvétel</t>
  </si>
  <si>
    <t>Víziközmű bérleti díj</t>
  </si>
  <si>
    <t>Pénzforg.nélküli bevételek</t>
  </si>
  <si>
    <t>Működési c. hitelfelvétel</t>
  </si>
  <si>
    <t>Fejlesztési.c.hitel felvétel</t>
  </si>
  <si>
    <t>Függő-átfutó, kiegyenlítő bevételek</t>
  </si>
  <si>
    <t>Kiadások Összesen</t>
  </si>
  <si>
    <t>Halmozódásmentes (intézmény fin. és normatíva átadás nélkül)</t>
  </si>
  <si>
    <t>Munkaadókat terh. Szociális adó</t>
  </si>
  <si>
    <t>Dologi és egyéb folyókiadások</t>
  </si>
  <si>
    <t>Szociális kiadások</t>
  </si>
  <si>
    <t>Végleges pénzeszközátadás</t>
  </si>
  <si>
    <t>Pénzeszköz átadás</t>
  </si>
  <si>
    <t>Kisebbs.Önkormányzati tám.</t>
  </si>
  <si>
    <t>EU-s finanszírozás kiadásai</t>
  </si>
  <si>
    <t>Felújítási kiadások</t>
  </si>
  <si>
    <t>Befektetett pénzügyi eszközök</t>
  </si>
  <si>
    <t>Pénzforg.nélküli kiadások</t>
  </si>
  <si>
    <t>Fejlesztési.c.hitel törlesztés</t>
  </si>
  <si>
    <t>Függő-átfutó, kiegyenlítő kiadások</t>
  </si>
  <si>
    <t>Pénzkészlet-pénzmaradvány nélkül</t>
  </si>
  <si>
    <t>Módosított előirányzat</t>
  </si>
  <si>
    <t xml:space="preserve"> Félévi teljesítés</t>
  </si>
  <si>
    <t>ÖSSZESEN</t>
  </si>
  <si>
    <t>Eredeti  terv</t>
  </si>
  <si>
    <t>1. sz. módosítás</t>
  </si>
  <si>
    <t>1.sz mód. Után</t>
  </si>
  <si>
    <t>Félévi mód.</t>
  </si>
  <si>
    <t>Félévi mód. után</t>
  </si>
  <si>
    <t>2. sz. módosítás</t>
  </si>
  <si>
    <t>2.sz mód. Után</t>
  </si>
  <si>
    <t>4. sz. módosítás</t>
  </si>
  <si>
    <t>4.sz mód. Után</t>
  </si>
  <si>
    <t>5. sz. módosítás</t>
  </si>
  <si>
    <t>5.sz mód. Után</t>
  </si>
  <si>
    <t>6. sz. módosítás</t>
  </si>
  <si>
    <t>TELJESÍTÉS</t>
  </si>
  <si>
    <t>TELJESÍTÉS %</t>
  </si>
  <si>
    <t>(eFt)</t>
  </si>
  <si>
    <t xml:space="preserve">          Kecskehát háttérfejlesztés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</si>
  <si>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</si>
  <si>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</si>
  <si>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</si>
  <si>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</si>
  <si>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</si>
  <si>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</si>
  <si>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</si>
  <si>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</si>
  <si>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</si>
  <si>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</si>
  <si>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</si>
  <si>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</si>
  <si>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</si>
  <si>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</si>
  <si>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</si>
  <si>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</si>
  <si>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</si>
  <si>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</si>
  <si>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</si>
  <si>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</si>
  <si>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>TÁRGYÉVI HELYESBÍTETT PÉNZMARADVÁNY  (03+-4-5)</t>
  </si>
  <si>
    <t>MÓDOSÍTOTT PÉNZMARADVÁNY ( 7+-9 )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</si>
  <si>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</si>
  <si>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</si>
  <si>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</si>
  <si>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</si>
  <si>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</si>
  <si>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</si>
  <si>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</si>
  <si>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</si>
  <si>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</si>
  <si>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</si>
  <si>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</si>
  <si>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>Felhalmozási célú átvétel: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</si>
  <si>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</si>
  <si>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</si>
  <si>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</si>
  <si>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</si>
  <si>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</si>
  <si>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</si>
  <si>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</si>
  <si>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</si>
  <si>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</si>
  <si>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</si>
  <si>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</si>
  <si>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</si>
  <si>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</si>
  <si>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</si>
  <si>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</si>
  <si>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</si>
  <si>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</si>
  <si>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</si>
  <si>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</si>
  <si>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</si>
  <si>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</si>
  <si>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</si>
  <si>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</si>
  <si>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</si>
  <si>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</si>
  <si>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</si>
  <si>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</si>
  <si>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</si>
  <si>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</si>
  <si>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</si>
  <si>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Víziközmű felújítás</t>
  </si>
  <si>
    <t>Állományi érték</t>
  </si>
  <si>
    <t>Változás</t>
  </si>
  <si>
    <t>Előző év</t>
  </si>
  <si>
    <t>Tárgyév</t>
  </si>
  <si>
    <t>%</t>
  </si>
  <si>
    <t xml:space="preserve"> E S Z K Ö Z Ö K</t>
  </si>
  <si>
    <t>I. Immateriális javak</t>
  </si>
  <si>
    <t>II.Tárgyi eszközök</t>
  </si>
  <si>
    <t>III: Befektett pénzügyi eszközök</t>
  </si>
  <si>
    <t>IV.Üzemeltetésre átadadott eszközök</t>
  </si>
  <si>
    <t>I.Készletek</t>
  </si>
  <si>
    <t>II.Követelések</t>
  </si>
  <si>
    <t>III.Értékpapírok</t>
  </si>
  <si>
    <t>IV.Pénzeszközök</t>
  </si>
  <si>
    <t>V.Egyéb aktív pénzügyi elszámolások</t>
  </si>
  <si>
    <t>E S Z K Ö Z Ö K  Ö S S Z E S E N</t>
  </si>
  <si>
    <t>1.Induló tőke</t>
  </si>
  <si>
    <t>2.Tőkeváltozások</t>
  </si>
  <si>
    <t>3.Értékelési tartalék</t>
  </si>
  <si>
    <t>I.Költségvetési tartalékok</t>
  </si>
  <si>
    <t>II.Vállalkozási tartalék</t>
  </si>
  <si>
    <t>I. Hosszúlejáratú kötelezettségek</t>
  </si>
  <si>
    <t>II.Rövidlejáratú kötelezettségek</t>
  </si>
  <si>
    <t>III.Egyéb passziv pénzügyi elszámolások</t>
  </si>
  <si>
    <t>F O R R Á S O K  Ö S S Z E S E N</t>
  </si>
  <si>
    <t>Költségvetési bankszámlák záróegyenlegei</t>
  </si>
  <si>
    <t>Pénztár és betétkönyv záróegyenlegei</t>
  </si>
  <si>
    <t xml:space="preserve">Záró pénzkészlet </t>
  </si>
  <si>
    <t>Költségvetési  aktív kiegyenlítő elsz.záróegy.</t>
  </si>
  <si>
    <t>Passziv kiegenlítő  elszámolások záró egyenlege</t>
  </si>
  <si>
    <t>Költségvetési aktiv átfutó elsz.záróegy.</t>
  </si>
  <si>
    <t>Passziv átfutó elszámolások záró egyenlege</t>
  </si>
  <si>
    <t>Aktiv függő elszámolások záró egyenlege</t>
  </si>
  <si>
    <t>Passziv függő elszámolások záró egyenlege</t>
  </si>
  <si>
    <t>Egyéb aktiv és passziv pü.elsz.össz</t>
  </si>
  <si>
    <t>Előzőévekben képzett tartalékok maradványa</t>
  </si>
  <si>
    <t>Vállalkozási tevékenység pénzforgalmi eredménye</t>
  </si>
  <si>
    <t>Intézményi költségvetési befiz.többlettámogatás miatt</t>
  </si>
  <si>
    <t>Költségvetési befizetés többlettámogatás miatt</t>
  </si>
  <si>
    <t>Költségvetési kiutalás kiutalatlan intézm.támogatás miatt</t>
  </si>
  <si>
    <t>Költségvetési kiutalás kiutalatlan támogatás miatt</t>
  </si>
  <si>
    <t>Pénzmaradványt terhelő elvonások</t>
  </si>
  <si>
    <t>Költségvetési pénzmaradvány( 13+………+-18 )</t>
  </si>
  <si>
    <t>Vállalk.tev.eredményéből alaptev.ellát.-ra felhaszn.össz.:</t>
  </si>
  <si>
    <t xml:space="preserve">ktv.-i pénzmaradv.ülön jogszabály alapján mód.tétel </t>
  </si>
  <si>
    <t>A 10.sorból- Egészségbiztos.alapból foly.pénzeszk.maradványa</t>
  </si>
  <si>
    <t>A 10.sorból- -Kötelezettéggel terhelt pénzmaradvány</t>
  </si>
  <si>
    <t>A 10.sorból - Szabad pénzmaradvány</t>
  </si>
  <si>
    <t>Technikai összesen (22+23+24+25):</t>
  </si>
  <si>
    <t>Személyi juttatás</t>
  </si>
  <si>
    <t>Dologi és folyó kiadások</t>
  </si>
  <si>
    <t>Ellátottak juttatásai</t>
  </si>
  <si>
    <t>Felhalmozási célú támogatásértékű kiadások.egyéb támogatás</t>
  </si>
  <si>
    <t>Államháztartáson kivülre végleges felhalmozási pénzeszközátadások</t>
  </si>
  <si>
    <t>Hosszú lejáratú kölcsönök nyújtása</t>
  </si>
  <si>
    <t>Rövid lejáratú kölcsönök nyújtása</t>
  </si>
  <si>
    <t>Költségvetési pénzforgalmi kiadások összesen (1+…12)</t>
  </si>
  <si>
    <t xml:space="preserve">Hosszú lejáratú hitelek </t>
  </si>
  <si>
    <t xml:space="preserve">Rövid lejáratú hitelek </t>
  </si>
  <si>
    <t>Forgatási célú hitelviszonyt megtestesítő értékpapírok kiadásai</t>
  </si>
  <si>
    <t>Pénzforgalmi kiadások ( 13+18)</t>
  </si>
  <si>
    <t>Továbbadási (lebonyolítási)célú kiadások</t>
  </si>
  <si>
    <t>Kiegyenlítő, függő, átfutó kiadások</t>
  </si>
  <si>
    <t>KIADÁSOK ÖSSZESEN   (19+….22))</t>
  </si>
  <si>
    <t xml:space="preserve">                                </t>
  </si>
  <si>
    <t>Intézményi müködési bevételek</t>
  </si>
  <si>
    <t>Önkormányzat sajátos müködési bevételei</t>
  </si>
  <si>
    <t>Működési célú támogatásértékű bevételek,egyéb támogatások</t>
  </si>
  <si>
    <t>Államházt.-on kivülről végleges működési pénzeszk.átv.</t>
  </si>
  <si>
    <t>Felhalmozási és tőke jellegű bevételek</t>
  </si>
  <si>
    <t>28-ból önk.sajátos felh-i és tőkebevételei</t>
  </si>
  <si>
    <t>Felhalmozási célú támogatásértékű bevételek,egyéb támogatások</t>
  </si>
  <si>
    <t>Államházt.-on kivülről végleges felhalmozási pénzeszk.átv.</t>
  </si>
  <si>
    <t>Támogatások kiegészítések</t>
  </si>
  <si>
    <t>32-ből önkormányzat költségvetési támogatása</t>
  </si>
  <si>
    <t>Hosszúlejáratú kölcsönök visszatérülése</t>
  </si>
  <si>
    <t>Rövidlejáratú kölcsönök visszatérülése</t>
  </si>
  <si>
    <t>Költségvetési pénzforgalmi bevételek összesen (24+…28+30+31+32+34+35)</t>
  </si>
  <si>
    <t>Hosszúlejáratú hitelek felvétele</t>
  </si>
  <si>
    <t>Rövidlejáratú hitelek felvétele</t>
  </si>
  <si>
    <t>Tartós hitelviszonyt megtestesítő értékpapírok bevétele</t>
  </si>
  <si>
    <t>Forgatási célú hitelviszpnyt megtestesítő értékpapírok bevételei</t>
  </si>
  <si>
    <t>Finanszírozási bevételek összesen   (37+…..+40)</t>
  </si>
  <si>
    <t>Pénzforgalmi bevételek összesen (36+41)</t>
  </si>
  <si>
    <t>Pénzforgalom nélküli bevételek</t>
  </si>
  <si>
    <t>Továbbadási(lebonyolítási) célú bevételek</t>
  </si>
  <si>
    <t>Kiegyenlítő, átfutó, függő bevételek összesen</t>
  </si>
  <si>
    <t>BEVÉTELEK ÖSSZESEN  ( 42+….45)</t>
  </si>
  <si>
    <t>KÖLTSÉGVETÉSI BEVÉTELEK ÉS KIADÁSOK KÜLÖNBSÉGE ((36+43-13-20)</t>
  </si>
  <si>
    <t>FINANSZÍROSZÁSI MŰVELETEK EREDMÉNYE (41-18)</t>
  </si>
  <si>
    <t>TOVÁBBADÁSI CÉLÚ BEVÉTELEK ÉS KIADÁSOK KÜLÖNBSÉGE (44-21)</t>
  </si>
  <si>
    <t>AKTÍV PASSZÍV  PÉNZÜGYI MŰVELETEK EGYENLEGE (45-22)</t>
  </si>
  <si>
    <t>Tárgyévi pénzmaradvány</t>
  </si>
  <si>
    <t>Tárgyévi felosztott maradvány</t>
  </si>
  <si>
    <t>Működési költségvetés kötött pénzmaradvány :</t>
  </si>
  <si>
    <t xml:space="preserve">Szállítói követelések </t>
  </si>
  <si>
    <t>Felhalmozási költségvetés kötött pénzmaradvány :</t>
  </si>
  <si>
    <t>Működési költségvetés szabad pénzmaradvány :</t>
  </si>
  <si>
    <t>PÉNZMARADVÁNY FELOSZTÁSA ÖSSZESEN (1+2+3):</t>
  </si>
  <si>
    <t>További évek törlesztése</t>
  </si>
  <si>
    <t>Lejárat éve</t>
  </si>
  <si>
    <t>OTP Bank nyRt                    Öreg iskola átépítés</t>
  </si>
  <si>
    <t>OTP Bank nyRt                    Útépítés</t>
  </si>
  <si>
    <t>OTP Bank nyRt                    Felszíni vízelvezetés beruházás</t>
  </si>
  <si>
    <t>MFB  zRt.                               XXI.sz.Iskola beruházás I.hitel</t>
  </si>
  <si>
    <t>ERSTE Bank nyRt               Tisza I.tér rekonstrukció</t>
  </si>
  <si>
    <t>Hitelállomány összesen</t>
  </si>
  <si>
    <t>ERSTE Bank nyRt              Kötvénykibocsátás</t>
  </si>
  <si>
    <t>Árfolyamváltozások miatti átértékelés</t>
  </si>
  <si>
    <t>Tartozások kötvénykibocsátásból</t>
  </si>
  <si>
    <t>Hitelek összesen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</si>
  <si>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</si>
  <si>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</si>
  <si>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</si>
  <si>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</si>
  <si>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</si>
  <si>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</si>
  <si>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</si>
  <si>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</si>
  <si>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</si>
  <si>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</si>
  <si>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</si>
  <si>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</si>
  <si>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</si>
  <si>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</si>
  <si>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</si>
  <si>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</si>
  <si>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</si>
  <si>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</si>
  <si>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</si>
  <si>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</si>
  <si>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</si>
  <si>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</si>
  <si>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</si>
  <si>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</si>
  <si>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</si>
  <si>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</si>
  <si>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</si>
  <si>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</si>
  <si>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</si>
  <si>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</si>
  <si>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 xml:space="preserve"> Vagyonalap :Ingatlan értékesítés utáni ÁFA befizetés</t>
  </si>
  <si>
    <t>Vízügyi építési alap bevételei</t>
  </si>
  <si>
    <t>Felhalmozási célú pénzeszköz átvétel összesen(+8+…11):</t>
  </si>
  <si>
    <t>eredeti</t>
  </si>
  <si>
    <t>Működési célú pénzeszköz átvétel</t>
  </si>
  <si>
    <t>Személyi juttatások</t>
  </si>
  <si>
    <t>Felújítás</t>
  </si>
  <si>
    <t>Fejlesztési céltartalék</t>
  </si>
  <si>
    <t>Polgármesteri Hivatal</t>
  </si>
  <si>
    <t>Megnevezés</t>
  </si>
  <si>
    <t>Intézményi működési bevételek</t>
  </si>
  <si>
    <t>Munkabér hitel felvétel</t>
  </si>
  <si>
    <t>Általános tartalék</t>
  </si>
  <si>
    <t>előirányzat</t>
  </si>
  <si>
    <t>sorszám</t>
  </si>
  <si>
    <t>Telekadó</t>
  </si>
  <si>
    <t>Viziközmű bérleti díj</t>
  </si>
  <si>
    <t>Normatív állami hozzájárulás</t>
  </si>
  <si>
    <t>Gépjárműadó</t>
  </si>
  <si>
    <t>Ingatlan értékesítés</t>
  </si>
  <si>
    <t>Túlkerítések miatt</t>
  </si>
  <si>
    <t xml:space="preserve">Felhalmozási célú pénzeszköz átvétel </t>
  </si>
  <si>
    <t>Sorszám</t>
  </si>
  <si>
    <t>MEGNEVEZÉS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</si>
  <si>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</si>
  <si>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</si>
  <si>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</si>
  <si>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</si>
  <si>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</si>
  <si>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</si>
  <si>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</si>
  <si>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</si>
  <si>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</si>
  <si>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</si>
  <si>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</si>
  <si>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</si>
  <si>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</si>
  <si>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</si>
  <si>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</si>
  <si>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</si>
  <si>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</si>
  <si>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</si>
  <si>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</si>
  <si>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</si>
  <si>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</si>
  <si>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</si>
  <si>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</si>
  <si>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</si>
  <si>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</si>
  <si>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</si>
  <si>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</si>
  <si>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</si>
  <si>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</si>
  <si>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Szöveg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</si>
  <si>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</si>
  <si>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</si>
  <si>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</si>
  <si>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</si>
  <si>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</si>
  <si>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Munkaadókat terhelő járulékok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</si>
  <si>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</si>
  <si>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</si>
  <si>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</si>
  <si>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</si>
  <si>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</si>
  <si>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</si>
  <si>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</si>
  <si>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</si>
  <si>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</si>
  <si>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</si>
  <si>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</si>
  <si>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</si>
  <si>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</si>
  <si>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</si>
  <si>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I. FELÚJÍTÁSOK</t>
  </si>
  <si>
    <t>BERUHÁZÁS, FELÚJÍTÁS MINDÖSSZESEN</t>
  </si>
  <si>
    <t>Támogatott megnevezése</t>
  </si>
  <si>
    <t>ÁFA bevételek</t>
  </si>
  <si>
    <t>sorsz.</t>
  </si>
  <si>
    <t>Hitelfelvételből</t>
  </si>
  <si>
    <t>Greszl F.u 4317 hrsz</t>
  </si>
  <si>
    <t>Ingatlan értékesítés összesen (bruttó )1+….5) :</t>
  </si>
  <si>
    <t>Alap-tevékenység</t>
  </si>
  <si>
    <t>Kisegítő tevékenység</t>
  </si>
  <si>
    <t>Kiegészítő tevékenység</t>
  </si>
  <si>
    <t>cím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</si>
  <si>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</si>
  <si>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</si>
  <si>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</si>
  <si>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</si>
  <si>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>szakfeladat</t>
  </si>
  <si>
    <t xml:space="preserve">        Vagyonalap</t>
  </si>
  <si>
    <t>2010.évi eredeti terv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</si>
  <si>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</si>
  <si>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</si>
  <si>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</si>
  <si>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</si>
  <si>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</si>
  <si>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</si>
  <si>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</si>
  <si>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</si>
  <si>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</si>
  <si>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</si>
  <si>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</si>
  <si>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Egyéb müködési célú pénzeszköz átvétel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</si>
  <si>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</si>
  <si>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</si>
  <si>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</si>
  <si>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</si>
  <si>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</si>
  <si>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</si>
  <si>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</si>
  <si>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</si>
  <si>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</si>
  <si>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</si>
  <si>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2013.évi törlesztés adósságkonszolidációval</t>
  </si>
  <si>
    <t>dologiban</t>
  </si>
  <si>
    <t>Német Nemzetiségi Önkormányzat pénzmaradványának átadása</t>
  </si>
  <si>
    <t>Bursa ösztöndíj (Fel nem használt támogatás 220e)</t>
  </si>
  <si>
    <t>EREDETI ELŐIRÁNYZAT</t>
  </si>
  <si>
    <t>TELJESÜLÉS</t>
  </si>
  <si>
    <t>Különbség</t>
  </si>
  <si>
    <t>Mutató</t>
  </si>
  <si>
    <t xml:space="preserve">            2012. évi várható</t>
  </si>
  <si>
    <t>Jogcím</t>
  </si>
  <si>
    <t>Ft/mutató</t>
  </si>
  <si>
    <t>Összeg Ft</t>
  </si>
  <si>
    <t>Hivatal</t>
  </si>
  <si>
    <t>Iskola</t>
  </si>
  <si>
    <t>Óvoda</t>
  </si>
  <si>
    <t>1. Települési önkormányzatok üzemeltetési, igazgatási, sport- és kulturális feladatai</t>
  </si>
  <si>
    <t>2. Körzeti igazgatási feladatok</t>
  </si>
  <si>
    <t xml:space="preserve">    b.) Építésügyi igazgatási feladatok</t>
  </si>
  <si>
    <t xml:space="preserve">    bb.) Kiegészítő hj. építésügyi ig. fel-hoz</t>
  </si>
  <si>
    <t>3. Lakott külterülettel kapcsolatos feladatok</t>
  </si>
  <si>
    <t>4. Lakkossági telep-i folyékony hull. kezelés</t>
  </si>
  <si>
    <t>5. Üdülőhelyi feladatok</t>
  </si>
  <si>
    <t>6. Pénzbeli és természetbeni szociális ellátás</t>
  </si>
  <si>
    <t>7. Szoc. és gyermekjóléti alapszolg. feladatai</t>
  </si>
  <si>
    <t xml:space="preserve">      a.) Családsegítés</t>
  </si>
  <si>
    <t xml:space="preserve">      b.) Gyermekjóléti szolgáltatás</t>
  </si>
  <si>
    <t xml:space="preserve">      c.) Otthonközeli ellátás </t>
  </si>
  <si>
    <t xml:space="preserve">         ca.) Szoc.étk.és Házi segíts.együtt (100%)</t>
  </si>
  <si>
    <t xml:space="preserve">         cc.) Szociális étkezés (25%)</t>
  </si>
  <si>
    <t xml:space="preserve">         cd.) Házi segítségnyújtás (75%)  </t>
  </si>
  <si>
    <t>8. Közoktatási alap hozzájárulások</t>
  </si>
  <si>
    <t>a.) Óvodai nevelés hozzájárulás</t>
  </si>
  <si>
    <t xml:space="preserve">      - 8 hónapra</t>
  </si>
  <si>
    <t>320 fő</t>
  </si>
  <si>
    <t xml:space="preserve">      - 4 hónapra</t>
  </si>
  <si>
    <t>310 fő</t>
  </si>
  <si>
    <t>b.). Iskolai oktatás hozzájárulás</t>
  </si>
  <si>
    <t xml:space="preserve">      - 8 hónapra  374 fő</t>
  </si>
  <si>
    <t xml:space="preserve">      - 4 hónapra  415 fő</t>
  </si>
  <si>
    <t xml:space="preserve">      - napközi foglalkozás  8 hó 207 fő</t>
  </si>
  <si>
    <t xml:space="preserve">      - napközis foglalkozás 4 hónap    217 fő  </t>
  </si>
  <si>
    <t>9. Kiegészítő hozzájárulás óvodai nev-hez, isk. oktatáshoz</t>
  </si>
  <si>
    <t xml:space="preserve">      a.) Sajátos nevelési igényű gyermekek</t>
  </si>
  <si>
    <t xml:space="preserve">           8 hónapra óvoda</t>
  </si>
  <si>
    <t xml:space="preserve">          4 hónapra óvoda</t>
  </si>
  <si>
    <t xml:space="preserve">      - 8 hónapra iskola</t>
  </si>
  <si>
    <t xml:space="preserve">      - 4 hónapra iskola</t>
  </si>
  <si>
    <t xml:space="preserve"> 10  Gyermek és ifjúságvédelemmel összefüggő juttatások</t>
  </si>
  <si>
    <t xml:space="preserve">      a.) Kedvezményes étkeztetés </t>
  </si>
  <si>
    <t xml:space="preserve">             - óvoda  (1-12 hó)</t>
  </si>
  <si>
    <t xml:space="preserve">             - iskola (1-12 hó)</t>
  </si>
  <si>
    <t xml:space="preserve">             - 5-7. évf. rendszeres gyvt-ben részesülő</t>
  </si>
  <si>
    <t xml:space="preserve">      b.) Tanulók tankönyvellátása</t>
  </si>
  <si>
    <t xml:space="preserve">             - Ingyenes tankönyvellátás</t>
  </si>
  <si>
    <t xml:space="preserve">             - általános tankönyhozzájárulás</t>
  </si>
  <si>
    <t>3. sz. melléklet összesen</t>
  </si>
  <si>
    <t>12. Egyes szociális feladatok kieg. támogatása</t>
  </si>
  <si>
    <t xml:space="preserve">        - Pedagógus továbképzés és szakvizsga ovi</t>
  </si>
  <si>
    <t xml:space="preserve">        - Pedagógu továbképzés és szakvizsga iskola</t>
  </si>
  <si>
    <t xml:space="preserve">         - Osztályfőnöki pótlék</t>
  </si>
  <si>
    <t xml:space="preserve">       - szakmai informatika  iskola</t>
  </si>
  <si>
    <t xml:space="preserve">          8 hónapra</t>
  </si>
  <si>
    <t xml:space="preserve">        - 4 hónapra</t>
  </si>
  <si>
    <t>8. sz. melléklet összesen</t>
  </si>
  <si>
    <t>3. sz. és 8. sz. melléklet összesen</t>
  </si>
  <si>
    <t>Szja 8%</t>
  </si>
  <si>
    <t>Jövedelemadó differenciálódás mérséklése</t>
  </si>
  <si>
    <t>Önkorm. hozzájár., tám., és SZJA bev. össz.</t>
  </si>
  <si>
    <t xml:space="preserve">Összesen: </t>
  </si>
  <si>
    <t>óvoda- iskola</t>
  </si>
  <si>
    <t>hivatal- óvoda-iskola</t>
  </si>
  <si>
    <t>2013.évi er. e.i.</t>
  </si>
  <si>
    <t>kölcsöntörlesztés</t>
  </si>
  <si>
    <t>2013.évi eredeti terv</t>
  </si>
  <si>
    <t>2013.évi módosított terv</t>
  </si>
  <si>
    <t>2013. éves teljesülés</t>
  </si>
  <si>
    <t>2013.évi nyító állomány</t>
  </si>
  <si>
    <t>2013.évi törlesztés</t>
  </si>
  <si>
    <t>adósszágkonszolidáció</t>
  </si>
  <si>
    <t>Záró pénzkészlet</t>
  </si>
  <si>
    <t>2013.évi záró állomány</t>
  </si>
  <si>
    <t>2013.évi</t>
  </si>
  <si>
    <t>5.sz. módosított</t>
  </si>
  <si>
    <t>teljesülés</t>
  </si>
  <si>
    <t xml:space="preserve">Bursa ösztöndíj </t>
  </si>
  <si>
    <t>Német Nemzetiségi Önkormányzatnak búcsúra</t>
  </si>
  <si>
    <t>Pest-Megyei Rendőrkapitányság KMB támogatása</t>
  </si>
  <si>
    <t>Nagykovácsi Zenei Alapítvány (NAMI+kórus+Rézpatkó)</t>
  </si>
  <si>
    <t>Zsíroshegyi Kilátások Egyesülete</t>
  </si>
  <si>
    <t>Nagykovácsi Sólymok Sportegyesület</t>
  </si>
  <si>
    <t>Nagykovácsi Utánpótlás SE</t>
  </si>
  <si>
    <t>BÁZIS Alapítvány</t>
  </si>
  <si>
    <t>Nagycsaládosok Országos Egyesülete Nagykovácsi csoport</t>
  </si>
  <si>
    <t xml:space="preserve">LINUM Alapítvány </t>
  </si>
  <si>
    <t>LINUM Alapítvány  (Nyugdíjas Klub)</t>
  </si>
  <si>
    <t xml:space="preserve">Peter Cerny Alapítvány a Beteg, Koraszülöttek Gyógyításáért </t>
  </si>
  <si>
    <t>2013. évi működési célú pénzeszköz átadás</t>
  </si>
  <si>
    <t>Rézpatkó</t>
  </si>
  <si>
    <t>Kórus</t>
  </si>
  <si>
    <t>NAMI működés</t>
  </si>
  <si>
    <t>Program támogatás</t>
  </si>
  <si>
    <t>Sportpálya</t>
  </si>
  <si>
    <t>Árvízkásorultak támogatása</t>
  </si>
  <si>
    <t>2013. eredeti terv</t>
  </si>
  <si>
    <t>Kossuth u. 45. hasznosítási tanulmányterv</t>
  </si>
  <si>
    <t>Száva u-i óvoda korszerűsítés (tető-fűtés)</t>
  </si>
  <si>
    <t>Általános iskola tanterem kialakítás</t>
  </si>
  <si>
    <t xml:space="preserve">HUSK Inkubátorház </t>
  </si>
  <si>
    <t>Vis maior útfelújítások</t>
  </si>
  <si>
    <t>Róm.kat. Templom kerítés  fedlapok</t>
  </si>
  <si>
    <t>Fő utca csapadékvíz elvezetés engedélyes tervezése</t>
  </si>
  <si>
    <t>Fő utca útépítés kiviteli szintű engedélyes terve</t>
  </si>
  <si>
    <t>Fő utca köztérépítészeti tanulmánytervei</t>
  </si>
  <si>
    <t>Járdaépítés Bánya u. Pók utcáig</t>
  </si>
  <si>
    <t>Térinformatikai rendszer</t>
  </si>
  <si>
    <t>Digitális alaptérkép</t>
  </si>
  <si>
    <t>Védőnői épület megépítése</t>
  </si>
  <si>
    <t>Kálvária kápolna lépcső, padló</t>
  </si>
  <si>
    <t>Sebestyén kápolna járda</t>
  </si>
  <si>
    <t>Kálvária kápolna betonkerítés, támfal építés</t>
  </si>
  <si>
    <t>Arany J. u-i játszótér (térburkolat, öntözőrendszer, füvesítés</t>
  </si>
  <si>
    <t>Közlekedés biztonsági eszközök</t>
  </si>
  <si>
    <t>Útmeteorológiai állomás</t>
  </si>
  <si>
    <t>Gépjármű</t>
  </si>
  <si>
    <t xml:space="preserve">térfigyelő rendszer </t>
  </si>
  <si>
    <t>KEOP Energetika (Napelemes és Biomassza)</t>
  </si>
  <si>
    <t>Óvoda bővítés (Dózsa+Kaszáló) és eszközbeszerzés</t>
  </si>
  <si>
    <t>Bölcsöde pályázat</t>
  </si>
  <si>
    <t>Szennyvíz derogáció</t>
  </si>
  <si>
    <t>Arany J. utcai játszótérre kétüléses hinta</t>
  </si>
  <si>
    <t>Arany J. utcai játszótérre fészekhinta</t>
  </si>
  <si>
    <t>NATÜ tőkehiány kirendezése</t>
  </si>
  <si>
    <t>NATÜ működési célú kölcsön</t>
  </si>
  <si>
    <t>DMRV részvény</t>
  </si>
  <si>
    <t>Iskolai tornaszoba étkezősvé alakítása és tantermek kialakítása</t>
  </si>
  <si>
    <t>Bánya utca mederburkolási munkái</t>
  </si>
  <si>
    <t>Védőnőknek szűrőaudiométer</t>
  </si>
  <si>
    <t>Iskolai sportpályához labdafogó háló</t>
  </si>
  <si>
    <t xml:space="preserve"> teljesülés</t>
  </si>
  <si>
    <t>F O R R Á S O K</t>
  </si>
  <si>
    <t>D.  SAJÁT TŐKE ÖSSZESEN</t>
  </si>
  <si>
    <t>B.  FORGÓESZKÖZÖK ÖSSZESEN</t>
  </si>
  <si>
    <t xml:space="preserve">A.  BEFEKTETETT ESZKÖZÖK ÖSSZESEN </t>
  </si>
  <si>
    <t>E.  TARTALÉKOK ÖSSZESEN</t>
  </si>
  <si>
    <t>F.   KÖTELEZETTSÉGEK ÖSSZESEN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</si>
</sst>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.000\ _F_t_-;\-* #,##0.000\ _F_t_-;_-* &quot;-&quot;??\ _F_t_-;_-@_-"/>
    <numFmt numFmtId="166" formatCode="_-* #,##0\ _F_t_-;\-* #,##0\ _F_t_-;_-* &quot;-&quot;??\ _F_t_-;_-@_-"/>
    <numFmt numFmtId="167" formatCode="0.000"/>
    <numFmt numFmtId="168" formatCode="#,##0.0000"/>
    <numFmt numFmtId="169" formatCode="#,##0.0"/>
    <numFmt numFmtId="170" formatCode="#,##0.00000"/>
    <numFmt numFmtId="171" formatCode="_-* #,##0.0\ _F_t_-;\-* #,##0.0\ _F_t_-;_-* &quot;-&quot;??\ _F_t_-;_-@_-"/>
    <numFmt numFmtId="172" formatCode="0.0"/>
    <numFmt numFmtId="173" formatCode="#,##0.000000"/>
    <numFmt numFmtId="174" formatCode="#,##0.0000000"/>
    <numFmt numFmtId="175" formatCode="#,##0_ ;[Red]\-#,##0\ 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51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Arial"/>
      <family val="2"/>
    </font>
    <font>
      <sz val="9"/>
      <name val="Times New Roman C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6" fillId="4" borderId="0" applyNumberFormat="0" applyBorder="0" applyAlignment="0" applyProtection="0"/>
    <xf numFmtId="0" fontId="37" fillId="22" borderId="8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8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3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3" fillId="24" borderId="22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3" fillId="25" borderId="14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3" fontId="13" fillId="25" borderId="1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" fontId="13" fillId="0" borderId="18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3" fillId="26" borderId="21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3" fillId="0" borderId="16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5" fillId="0" borderId="27" xfId="0" applyFont="1" applyBorder="1" applyAlignment="1">
      <alignment/>
    </xf>
    <xf numFmtId="3" fontId="13" fillId="0" borderId="26" xfId="0" applyNumberFormat="1" applyFont="1" applyFill="1" applyBorder="1" applyAlignment="1">
      <alignment/>
    </xf>
    <xf numFmtId="9" fontId="13" fillId="0" borderId="26" xfId="72" applyFont="1" applyBorder="1" applyAlignment="1">
      <alignment/>
    </xf>
    <xf numFmtId="0" fontId="13" fillId="0" borderId="27" xfId="0" applyFont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3" fontId="13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14" xfId="0" applyFont="1" applyBorder="1" applyAlignment="1">
      <alignment/>
    </xf>
    <xf numFmtId="9" fontId="13" fillId="0" borderId="14" xfId="72" applyFont="1" applyBorder="1" applyAlignment="1">
      <alignment/>
    </xf>
    <xf numFmtId="0" fontId="13" fillId="24" borderId="21" xfId="0" applyFont="1" applyFill="1" applyBorder="1" applyAlignment="1">
      <alignment/>
    </xf>
    <xf numFmtId="3" fontId="13" fillId="24" borderId="21" xfId="0" applyNumberFormat="1" applyFont="1" applyFill="1" applyBorder="1" applyAlignment="1">
      <alignment/>
    </xf>
    <xf numFmtId="9" fontId="13" fillId="24" borderId="21" xfId="72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3" fillId="24" borderId="30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3" fontId="13" fillId="24" borderId="3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18" fillId="0" borderId="0" xfId="0" applyFont="1" applyAlignment="1">
      <alignment/>
    </xf>
    <xf numFmtId="9" fontId="13" fillId="0" borderId="13" xfId="72" applyFont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13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9" fontId="1" fillId="0" borderId="18" xfId="72" applyFont="1" applyFill="1" applyBorder="1" applyAlignment="1">
      <alignment horizontal="right"/>
    </xf>
    <xf numFmtId="9" fontId="4" fillId="0" borderId="21" xfId="72" applyFont="1" applyBorder="1" applyAlignment="1">
      <alignment horizontal="center" wrapText="1"/>
    </xf>
    <xf numFmtId="9" fontId="13" fillId="0" borderId="13" xfId="72" applyFont="1" applyBorder="1" applyAlignment="1">
      <alignment horizontal="center"/>
    </xf>
    <xf numFmtId="9" fontId="13" fillId="0" borderId="14" xfId="72" applyFont="1" applyBorder="1" applyAlignment="1">
      <alignment horizontal="center"/>
    </xf>
    <xf numFmtId="9" fontId="13" fillId="0" borderId="26" xfId="72" applyFont="1" applyFill="1" applyBorder="1" applyAlignment="1">
      <alignment/>
    </xf>
    <xf numFmtId="9" fontId="1" fillId="0" borderId="16" xfId="72" applyFont="1" applyBorder="1" applyAlignment="1">
      <alignment horizontal="right"/>
    </xf>
    <xf numFmtId="9" fontId="1" fillId="0" borderId="13" xfId="72" applyFont="1" applyBorder="1" applyAlignment="1">
      <alignment horizontal="right"/>
    </xf>
    <xf numFmtId="9" fontId="13" fillId="0" borderId="26" xfId="72" applyFont="1" applyFill="1" applyBorder="1" applyAlignment="1">
      <alignment/>
    </xf>
    <xf numFmtId="9" fontId="1" fillId="0" borderId="16" xfId="72" applyFont="1" applyBorder="1" applyAlignment="1">
      <alignment/>
    </xf>
    <xf numFmtId="9" fontId="1" fillId="0" borderId="18" xfId="72" applyFont="1" applyBorder="1" applyAlignment="1">
      <alignment horizontal="right"/>
    </xf>
    <xf numFmtId="9" fontId="1" fillId="0" borderId="18" xfId="72" applyFont="1" applyBorder="1" applyAlignment="1">
      <alignment/>
    </xf>
    <xf numFmtId="9" fontId="1" fillId="0" borderId="13" xfId="72" applyFont="1" applyBorder="1" applyAlignment="1">
      <alignment/>
    </xf>
    <xf numFmtId="9" fontId="1" fillId="0" borderId="18" xfId="72" applyFont="1" applyBorder="1" applyAlignment="1">
      <alignment/>
    </xf>
    <xf numFmtId="9" fontId="13" fillId="0" borderId="21" xfId="72" applyFont="1" applyFill="1" applyBorder="1" applyAlignment="1">
      <alignment/>
    </xf>
    <xf numFmtId="9" fontId="13" fillId="0" borderId="13" xfId="72" applyFont="1" applyBorder="1" applyAlignment="1">
      <alignment horizontal="right"/>
    </xf>
    <xf numFmtId="9" fontId="13" fillId="24" borderId="30" xfId="72" applyFont="1" applyFill="1" applyBorder="1" applyAlignment="1">
      <alignment/>
    </xf>
    <xf numFmtId="9" fontId="13" fillId="25" borderId="14" xfId="72" applyFont="1" applyFill="1" applyBorder="1" applyAlignment="1">
      <alignment/>
    </xf>
    <xf numFmtId="9" fontId="1" fillId="0" borderId="0" xfId="72" applyFont="1" applyAlignment="1">
      <alignment/>
    </xf>
    <xf numFmtId="9" fontId="0" fillId="0" borderId="0" xfId="72" applyFont="1" applyAlignment="1">
      <alignment/>
    </xf>
    <xf numFmtId="3" fontId="0" fillId="0" borderId="0" xfId="0" applyNumberFormat="1" applyFont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72" applyFont="1" applyFill="1" applyBorder="1" applyAlignment="1">
      <alignment horizontal="right"/>
    </xf>
    <xf numFmtId="9" fontId="1" fillId="0" borderId="13" xfId="72" applyFont="1" applyFill="1" applyBorder="1" applyAlignment="1">
      <alignment horizontal="right"/>
    </xf>
    <xf numFmtId="9" fontId="1" fillId="0" borderId="28" xfId="72" applyFont="1" applyFill="1" applyBorder="1" applyAlignment="1">
      <alignment horizontal="right"/>
    </xf>
    <xf numFmtId="9" fontId="1" fillId="0" borderId="15" xfId="72" applyFont="1" applyBorder="1" applyAlignment="1">
      <alignment/>
    </xf>
    <xf numFmtId="9" fontId="13" fillId="0" borderId="16" xfId="72" applyFont="1" applyFill="1" applyBorder="1" applyAlignment="1">
      <alignment horizontal="right"/>
    </xf>
    <xf numFmtId="9" fontId="13" fillId="0" borderId="18" xfId="72" applyFont="1" applyBorder="1" applyAlignment="1">
      <alignment horizontal="right"/>
    </xf>
    <xf numFmtId="9" fontId="1" fillId="0" borderId="18" xfId="72" applyFont="1" applyFill="1" applyBorder="1" applyAlignment="1">
      <alignment/>
    </xf>
    <xf numFmtId="0" fontId="13" fillId="0" borderId="35" xfId="0" applyFont="1" applyBorder="1" applyAlignment="1">
      <alignment/>
    </xf>
    <xf numFmtId="0" fontId="5" fillId="0" borderId="36" xfId="0" applyFont="1" applyFill="1" applyBorder="1" applyAlignment="1">
      <alignment/>
    </xf>
    <xf numFmtId="2" fontId="0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3" fontId="13" fillId="0" borderId="0" xfId="0" applyNumberFormat="1" applyFont="1" applyAlignment="1">
      <alignment/>
    </xf>
    <xf numFmtId="0" fontId="13" fillId="24" borderId="18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9" fontId="0" fillId="0" borderId="37" xfId="72" applyFont="1" applyFill="1" applyBorder="1" applyAlignment="1">
      <alignment/>
    </xf>
    <xf numFmtId="0" fontId="0" fillId="27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66" fontId="1" fillId="0" borderId="0" xfId="40" applyNumberFormat="1" applyFont="1" applyFill="1" applyBorder="1" applyAlignment="1">
      <alignment/>
    </xf>
    <xf numFmtId="166" fontId="13" fillId="0" borderId="0" xfId="4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6" xfId="72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3" xfId="72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9" fontId="0" fillId="0" borderId="39" xfId="72" applyFont="1" applyBorder="1" applyAlignment="1">
      <alignment/>
    </xf>
    <xf numFmtId="0" fontId="4" fillId="25" borderId="40" xfId="0" applyFont="1" applyFill="1" applyBorder="1" applyAlignment="1">
      <alignment/>
    </xf>
    <xf numFmtId="3" fontId="4" fillId="25" borderId="40" xfId="0" applyNumberFormat="1" applyFont="1" applyFill="1" applyBorder="1" applyAlignment="1">
      <alignment/>
    </xf>
    <xf numFmtId="9" fontId="4" fillId="25" borderId="40" xfId="72" applyFont="1" applyFill="1" applyBorder="1" applyAlignment="1">
      <alignment/>
    </xf>
    <xf numFmtId="3" fontId="4" fillId="0" borderId="16" xfId="40" applyNumberFormat="1" applyFont="1" applyBorder="1" applyAlignment="1">
      <alignment horizontal="right"/>
    </xf>
    <xf numFmtId="3" fontId="0" fillId="0" borderId="13" xfId="40" applyNumberFormat="1" applyFont="1" applyBorder="1" applyAlignment="1">
      <alignment horizontal="right"/>
    </xf>
    <xf numFmtId="3" fontId="0" fillId="0" borderId="13" xfId="4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25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3" fontId="4" fillId="24" borderId="21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2" xfId="0" applyFont="1" applyBorder="1" applyAlignment="1">
      <alignment/>
    </xf>
    <xf numFmtId="9" fontId="0" fillId="0" borderId="42" xfId="72" applyFont="1" applyBorder="1" applyAlignment="1">
      <alignment/>
    </xf>
    <xf numFmtId="9" fontId="0" fillId="0" borderId="37" xfId="72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9" fontId="0" fillId="0" borderId="43" xfId="72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/>
    </xf>
    <xf numFmtId="9" fontId="0" fillId="0" borderId="47" xfId="72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2" xfId="0" applyFont="1" applyBorder="1" applyAlignment="1">
      <alignment/>
    </xf>
    <xf numFmtId="9" fontId="4" fillId="0" borderId="42" xfId="72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9" fontId="18" fillId="0" borderId="42" xfId="72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9" fillId="0" borderId="0" xfId="0" applyFont="1" applyAlignment="1">
      <alignment/>
    </xf>
    <xf numFmtId="0" fontId="4" fillId="25" borderId="51" xfId="0" applyFont="1" applyFill="1" applyBorder="1" applyAlignment="1">
      <alignment horizontal="center"/>
    </xf>
    <xf numFmtId="0" fontId="4" fillId="25" borderId="52" xfId="0" applyFont="1" applyFill="1" applyBorder="1" applyAlignment="1">
      <alignment/>
    </xf>
    <xf numFmtId="3" fontId="4" fillId="25" borderId="52" xfId="0" applyNumberFormat="1" applyFont="1" applyFill="1" applyBorder="1" applyAlignment="1">
      <alignment/>
    </xf>
    <xf numFmtId="9" fontId="4" fillId="25" borderId="53" xfId="72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3" xfId="0" applyFont="1" applyBorder="1" applyAlignment="1">
      <alignment/>
    </xf>
    <xf numFmtId="3" fontId="18" fillId="0" borderId="23" xfId="0" applyNumberFormat="1" applyFont="1" applyBorder="1" applyAlignment="1">
      <alignment/>
    </xf>
    <xf numFmtId="9" fontId="18" fillId="0" borderId="37" xfId="72" applyFont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3" fontId="0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1" xfId="0" applyFont="1" applyBorder="1" applyAlignment="1">
      <alignment horizontal="center"/>
    </xf>
    <xf numFmtId="1" fontId="7" fillId="0" borderId="52" xfId="0" applyNumberFormat="1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/>
    </xf>
    <xf numFmtId="3" fontId="5" fillId="0" borderId="60" xfId="4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44" xfId="0" applyFont="1" applyBorder="1" applyAlignment="1">
      <alignment/>
    </xf>
    <xf numFmtId="3" fontId="5" fillId="0" borderId="55" xfId="0" applyNumberFormat="1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7" fillId="0" borderId="51" xfId="0" applyFont="1" applyBorder="1" applyAlignment="1">
      <alignment horizontal="left"/>
    </xf>
    <xf numFmtId="3" fontId="7" fillId="0" borderId="62" xfId="40" applyNumberFormat="1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63" xfId="0" applyFont="1" applyBorder="1" applyAlignment="1">
      <alignment/>
    </xf>
    <xf numFmtId="3" fontId="5" fillId="0" borderId="64" xfId="0" applyNumberFormat="1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7" fillId="0" borderId="51" xfId="0" applyFont="1" applyFill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3" xfId="0" applyFont="1" applyFill="1" applyBorder="1" applyAlignment="1">
      <alignment horizontal="right"/>
    </xf>
    <xf numFmtId="166" fontId="5" fillId="0" borderId="66" xfId="4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7" fillId="0" borderId="51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3" xfId="0" applyFont="1" applyBorder="1" applyAlignment="1">
      <alignment/>
    </xf>
    <xf numFmtId="166" fontId="0" fillId="0" borderId="14" xfId="4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7" fillId="0" borderId="65" xfId="0" applyFont="1" applyBorder="1" applyAlignment="1">
      <alignment horizontal="center"/>
    </xf>
    <xf numFmtId="0" fontId="7" fillId="27" borderId="65" xfId="0" applyFont="1" applyFill="1" applyBorder="1" applyAlignment="1">
      <alignment horizont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3" fontId="7" fillId="0" borderId="63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9" fontId="7" fillId="0" borderId="65" xfId="72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71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/>
    </xf>
    <xf numFmtId="9" fontId="7" fillId="0" borderId="53" xfId="72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3" fillId="0" borderId="44" xfId="0" applyNumberFormat="1" applyFont="1" applyBorder="1" applyAlignment="1">
      <alignment/>
    </xf>
    <xf numFmtId="3" fontId="43" fillId="0" borderId="72" xfId="0" applyNumberFormat="1" applyFont="1" applyBorder="1" applyAlignment="1">
      <alignment/>
    </xf>
    <xf numFmtId="3" fontId="43" fillId="0" borderId="44" xfId="0" applyNumberFormat="1" applyFont="1" applyBorder="1" applyAlignment="1">
      <alignment horizontal="right"/>
    </xf>
    <xf numFmtId="3" fontId="43" fillId="28" borderId="74" xfId="0" applyNumberFormat="1" applyFont="1" applyFill="1" applyBorder="1" applyAlignment="1">
      <alignment/>
    </xf>
    <xf numFmtId="3" fontId="43" fillId="28" borderId="37" xfId="0" applyNumberFormat="1" applyFont="1" applyFill="1" applyBorder="1" applyAlignment="1">
      <alignment/>
    </xf>
    <xf numFmtId="9" fontId="43" fillId="28" borderId="37" xfId="72" applyFont="1" applyFill="1" applyBorder="1" applyAlignment="1">
      <alignment/>
    </xf>
    <xf numFmtId="3" fontId="43" fillId="0" borderId="41" xfId="0" applyNumberFormat="1" applyFont="1" applyBorder="1" applyAlignment="1">
      <alignment horizontal="right"/>
    </xf>
    <xf numFmtId="3" fontId="43" fillId="0" borderId="42" xfId="0" applyNumberFormat="1" applyFont="1" applyBorder="1" applyAlignment="1">
      <alignment/>
    </xf>
    <xf numFmtId="9" fontId="43" fillId="0" borderId="42" xfId="72" applyFont="1" applyBorder="1" applyAlignment="1">
      <alignment/>
    </xf>
    <xf numFmtId="3" fontId="43" fillId="0" borderId="20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3" fontId="7" fillId="0" borderId="53" xfId="0" applyNumberFormat="1" applyFont="1" applyFill="1" applyBorder="1" applyAlignment="1">
      <alignment/>
    </xf>
    <xf numFmtId="9" fontId="7" fillId="0" borderId="53" xfId="72" applyFont="1" applyFill="1" applyBorder="1" applyAlignment="1">
      <alignment/>
    </xf>
    <xf numFmtId="3" fontId="43" fillId="0" borderId="63" xfId="0" applyNumberFormat="1" applyFont="1" applyBorder="1" applyAlignment="1">
      <alignment horizontal="right"/>
    </xf>
    <xf numFmtId="3" fontId="43" fillId="0" borderId="75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9" fontId="43" fillId="0" borderId="57" xfId="72" applyFont="1" applyBorder="1" applyAlignment="1">
      <alignment/>
    </xf>
    <xf numFmtId="3" fontId="5" fillId="0" borderId="48" xfId="0" applyNumberFormat="1" applyFont="1" applyBorder="1" applyAlignment="1">
      <alignment horizontal="right"/>
    </xf>
    <xf numFmtId="3" fontId="5" fillId="29" borderId="42" xfId="0" applyNumberFormat="1" applyFont="1" applyFill="1" applyBorder="1" applyAlignment="1">
      <alignment/>
    </xf>
    <xf numFmtId="9" fontId="5" fillId="29" borderId="42" xfId="72" applyFont="1" applyFill="1" applyBorder="1" applyAlignment="1">
      <alignment/>
    </xf>
    <xf numFmtId="3" fontId="43" fillId="28" borderId="72" xfId="0" applyNumberFormat="1" applyFont="1" applyFill="1" applyBorder="1" applyAlignment="1">
      <alignment/>
    </xf>
    <xf numFmtId="3" fontId="43" fillId="28" borderId="42" xfId="0" applyNumberFormat="1" applyFont="1" applyFill="1" applyBorder="1" applyAlignment="1">
      <alignment/>
    </xf>
    <xf numFmtId="9" fontId="43" fillId="28" borderId="42" xfId="72" applyFont="1" applyFill="1" applyBorder="1" applyAlignment="1">
      <alignment/>
    </xf>
    <xf numFmtId="3" fontId="5" fillId="29" borderId="37" xfId="0" applyNumberFormat="1" applyFont="1" applyFill="1" applyBorder="1" applyAlignment="1">
      <alignment/>
    </xf>
    <xf numFmtId="9" fontId="5" fillId="29" borderId="37" xfId="72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29" borderId="59" xfId="0" applyNumberFormat="1" applyFont="1" applyFill="1" applyBorder="1" applyAlignment="1">
      <alignment/>
    </xf>
    <xf numFmtId="9" fontId="5" fillId="29" borderId="59" xfId="72" applyFont="1" applyFill="1" applyBorder="1" applyAlignment="1">
      <alignment/>
    </xf>
    <xf numFmtId="3" fontId="0" fillId="0" borderId="21" xfId="0" applyNumberFormat="1" applyBorder="1" applyAlignment="1">
      <alignment/>
    </xf>
    <xf numFmtId="9" fontId="0" fillId="0" borderId="0" xfId="72" applyAlignment="1">
      <alignment/>
    </xf>
    <xf numFmtId="166" fontId="0" fillId="0" borderId="0" xfId="40" applyNumberFormat="1" applyFont="1" applyAlignment="1">
      <alignment/>
    </xf>
    <xf numFmtId="3" fontId="13" fillId="0" borderId="16" xfId="0" applyNumberFormat="1" applyFont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0" fontId="13" fillId="0" borderId="33" xfId="0" applyFont="1" applyBorder="1" applyAlignment="1">
      <alignment horizontal="center" wrapText="1"/>
    </xf>
    <xf numFmtId="0" fontId="13" fillId="27" borderId="33" xfId="0" applyFont="1" applyFill="1" applyBorder="1" applyAlignment="1">
      <alignment horizontal="center" wrapText="1"/>
    </xf>
    <xf numFmtId="9" fontId="1" fillId="0" borderId="16" xfId="72" applyFont="1" applyBorder="1" applyAlignment="1">
      <alignment horizontal="right"/>
    </xf>
    <xf numFmtId="9" fontId="13" fillId="0" borderId="24" xfId="72" applyFont="1" applyFill="1" applyBorder="1" applyAlignment="1">
      <alignment horizontal="right"/>
    </xf>
    <xf numFmtId="0" fontId="1" fillId="0" borderId="18" xfId="0" applyFont="1" applyBorder="1" applyAlignment="1">
      <alignment horizontal="left"/>
    </xf>
    <xf numFmtId="9" fontId="1" fillId="0" borderId="25" xfId="72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13" fillId="0" borderId="18" xfId="0" applyFont="1" applyBorder="1" applyAlignment="1">
      <alignment shrinkToFi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shrinkToFit="1"/>
    </xf>
    <xf numFmtId="0" fontId="1" fillId="0" borderId="0" xfId="0" applyFont="1" applyFill="1" applyAlignment="1">
      <alignment/>
    </xf>
    <xf numFmtId="9" fontId="1" fillId="0" borderId="24" xfId="72" applyFont="1" applyFill="1" applyBorder="1" applyAlignment="1">
      <alignment horizontal="right"/>
    </xf>
    <xf numFmtId="3" fontId="1" fillId="29" borderId="24" xfId="0" applyNumberFormat="1" applyFont="1" applyFill="1" applyBorder="1" applyAlignment="1">
      <alignment horizontal="right"/>
    </xf>
    <xf numFmtId="0" fontId="13" fillId="26" borderId="21" xfId="0" applyFont="1" applyFill="1" applyBorder="1" applyAlignment="1">
      <alignment/>
    </xf>
    <xf numFmtId="3" fontId="13" fillId="26" borderId="21" xfId="40" applyNumberFormat="1" applyFont="1" applyFill="1" applyBorder="1" applyAlignment="1">
      <alignment horizontal="right"/>
    </xf>
    <xf numFmtId="9" fontId="13" fillId="26" borderId="21" xfId="72" applyFont="1" applyFill="1" applyBorder="1" applyAlignment="1">
      <alignment horizontal="right"/>
    </xf>
    <xf numFmtId="9" fontId="1" fillId="0" borderId="24" xfId="72" applyFont="1" applyFill="1" applyBorder="1" applyAlignment="1">
      <alignment horizontal="right"/>
    </xf>
    <xf numFmtId="0" fontId="13" fillId="0" borderId="18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9" fontId="1" fillId="0" borderId="77" xfId="72" applyFont="1" applyFill="1" applyBorder="1" applyAlignment="1">
      <alignment horizontal="right"/>
    </xf>
    <xf numFmtId="9" fontId="1" fillId="0" borderId="77" xfId="72" applyFont="1" applyFill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3" fillId="29" borderId="13" xfId="0" applyFont="1" applyFill="1" applyBorder="1" applyAlignment="1">
      <alignment horizontal="center"/>
    </xf>
    <xf numFmtId="0" fontId="13" fillId="29" borderId="15" xfId="0" applyFont="1" applyFill="1" applyBorder="1" applyAlignment="1">
      <alignment/>
    </xf>
    <xf numFmtId="9" fontId="13" fillId="0" borderId="21" xfId="72" applyFont="1" applyFill="1" applyBorder="1" applyAlignment="1">
      <alignment horizontal="right"/>
    </xf>
    <xf numFmtId="0" fontId="13" fillId="25" borderId="21" xfId="0" applyFont="1" applyFill="1" applyBorder="1" applyAlignment="1">
      <alignment/>
    </xf>
    <xf numFmtId="3" fontId="13" fillId="25" borderId="78" xfId="0" applyNumberFormat="1" applyFont="1" applyFill="1" applyBorder="1" applyAlignment="1">
      <alignment horizontal="right"/>
    </xf>
    <xf numFmtId="9" fontId="13" fillId="25" borderId="78" xfId="72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79" xfId="0" applyNumberFormat="1" applyFont="1" applyFill="1" applyBorder="1" applyAlignment="1">
      <alignment/>
    </xf>
    <xf numFmtId="9" fontId="1" fillId="0" borderId="79" xfId="72" applyFont="1" applyFill="1" applyBorder="1" applyAlignment="1">
      <alignment/>
    </xf>
    <xf numFmtId="169" fontId="13" fillId="0" borderId="57" xfId="0" applyNumberFormat="1" applyFont="1" applyFill="1" applyBorder="1" applyAlignment="1">
      <alignment/>
    </xf>
    <xf numFmtId="9" fontId="13" fillId="0" borderId="57" xfId="72" applyFont="1" applyFill="1" applyBorder="1" applyAlignment="1">
      <alignment/>
    </xf>
    <xf numFmtId="169" fontId="13" fillId="0" borderId="59" xfId="0" applyNumberFormat="1" applyFont="1" applyFill="1" applyBorder="1" applyAlignment="1">
      <alignment/>
    </xf>
    <xf numFmtId="9" fontId="13" fillId="0" borderId="59" xfId="72" applyFont="1" applyFill="1" applyBorder="1" applyAlignment="1">
      <alignment/>
    </xf>
    <xf numFmtId="9" fontId="13" fillId="0" borderId="33" xfId="72" applyFont="1" applyBorder="1" applyAlignment="1">
      <alignment horizontal="center" wrapText="1"/>
    </xf>
    <xf numFmtId="9" fontId="1" fillId="0" borderId="0" xfId="72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9" fontId="4" fillId="0" borderId="0" xfId="72" applyNumberFormat="1" applyFont="1" applyFill="1" applyBorder="1" applyAlignment="1">
      <alignment horizontal="right"/>
    </xf>
    <xf numFmtId="0" fontId="0" fillId="28" borderId="0" xfId="0" applyFont="1" applyFill="1" applyAlignment="1">
      <alignment/>
    </xf>
    <xf numFmtId="3" fontId="0" fillId="3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0" fillId="31" borderId="34" xfId="59" applyFont="1" applyFill="1" applyBorder="1" applyAlignment="1">
      <alignment horizontal="center"/>
      <protection/>
    </xf>
    <xf numFmtId="0" fontId="44" fillId="0" borderId="34" xfId="0" applyFont="1" applyFill="1" applyBorder="1" applyAlignment="1">
      <alignment/>
    </xf>
    <xf numFmtId="0" fontId="39" fillId="0" borderId="0" xfId="0" applyFont="1" applyAlignment="1">
      <alignment/>
    </xf>
    <xf numFmtId="0" fontId="47" fillId="32" borderId="22" xfId="59" applyFont="1" applyFill="1" applyBorder="1">
      <alignment/>
      <protection/>
    </xf>
    <xf numFmtId="166" fontId="46" fillId="32" borderId="78" xfId="40" applyNumberFormat="1" applyFont="1" applyFill="1" applyBorder="1" applyAlignment="1">
      <alignment/>
    </xf>
    <xf numFmtId="0" fontId="25" fillId="29" borderId="41" xfId="0" applyFont="1" applyFill="1" applyBorder="1" applyAlignment="1">
      <alignment/>
    </xf>
    <xf numFmtId="166" fontId="46" fillId="0" borderId="42" xfId="40" applyNumberFormat="1" applyFont="1" applyBorder="1" applyAlignment="1">
      <alignment/>
    </xf>
    <xf numFmtId="0" fontId="25" fillId="29" borderId="31" xfId="0" applyFont="1" applyFill="1" applyBorder="1" applyAlignment="1">
      <alignment/>
    </xf>
    <xf numFmtId="166" fontId="46" fillId="0" borderId="59" xfId="40" applyNumberFormat="1" applyFont="1" applyBorder="1" applyAlignment="1">
      <alignment/>
    </xf>
    <xf numFmtId="166" fontId="20" fillId="0" borderId="78" xfId="40" applyNumberFormat="1" applyFont="1" applyFill="1" applyBorder="1" applyAlignment="1">
      <alignment horizontal="center"/>
    </xf>
    <xf numFmtId="166" fontId="20" fillId="31" borderId="80" xfId="40" applyNumberFormat="1" applyFont="1" applyFill="1" applyBorder="1" applyAlignment="1">
      <alignment horizontal="center"/>
    </xf>
    <xf numFmtId="166" fontId="45" fillId="31" borderId="81" xfId="40" applyNumberFormat="1" applyFont="1" applyFill="1" applyBorder="1" applyAlignment="1">
      <alignment/>
    </xf>
    <xf numFmtId="166" fontId="45" fillId="31" borderId="64" xfId="40" applyNumberFormat="1" applyFont="1" applyFill="1" applyBorder="1" applyAlignment="1">
      <alignment/>
    </xf>
    <xf numFmtId="166" fontId="19" fillId="31" borderId="82" xfId="40" applyNumberFormat="1" applyFont="1" applyFill="1" applyBorder="1" applyAlignment="1">
      <alignment/>
    </xf>
    <xf numFmtId="166" fontId="46" fillId="32" borderId="51" xfId="40" applyNumberFormat="1" applyFont="1" applyFill="1" applyBorder="1" applyAlignment="1">
      <alignment/>
    </xf>
    <xf numFmtId="166" fontId="46" fillId="32" borderId="52" xfId="40" applyNumberFormat="1" applyFont="1" applyFill="1" applyBorder="1" applyAlignment="1">
      <alignment/>
    </xf>
    <xf numFmtId="166" fontId="46" fillId="32" borderId="62" xfId="40" applyNumberFormat="1" applyFont="1" applyFill="1" applyBorder="1" applyAlignment="1">
      <alignment/>
    </xf>
    <xf numFmtId="166" fontId="45" fillId="29" borderId="32" xfId="40" applyNumberFormat="1" applyFont="1" applyFill="1" applyBorder="1" applyAlignment="1">
      <alignment/>
    </xf>
    <xf numFmtId="166" fontId="45" fillId="29" borderId="83" xfId="40" applyNumberFormat="1" applyFont="1" applyFill="1" applyBorder="1" applyAlignment="1">
      <alignment/>
    </xf>
    <xf numFmtId="166" fontId="45" fillId="0" borderId="32" xfId="40" applyNumberFormat="1" applyFont="1" applyBorder="1" applyAlignment="1">
      <alignment/>
    </xf>
    <xf numFmtId="166" fontId="45" fillId="29" borderId="58" xfId="40" applyNumberFormat="1" applyFont="1" applyFill="1" applyBorder="1" applyAlignment="1">
      <alignment/>
    </xf>
    <xf numFmtId="166" fontId="45" fillId="29" borderId="84" xfId="40" applyNumberFormat="1" applyFont="1" applyFill="1" applyBorder="1" applyAlignment="1">
      <alignment/>
    </xf>
    <xf numFmtId="166" fontId="45" fillId="0" borderId="58" xfId="40" applyNumberFormat="1" applyFont="1" applyBorder="1" applyAlignment="1">
      <alignment/>
    </xf>
    <xf numFmtId="166" fontId="19" fillId="0" borderId="0" xfId="40" applyNumberFormat="1" applyFont="1" applyFill="1" applyAlignment="1">
      <alignment/>
    </xf>
    <xf numFmtId="166" fontId="19" fillId="0" borderId="0" xfId="40" applyNumberFormat="1" applyFont="1" applyFill="1" applyAlignment="1">
      <alignment horizontal="right"/>
    </xf>
    <xf numFmtId="166" fontId="0" fillId="0" borderId="13" xfId="40" applyNumberFormat="1" applyFont="1" applyFill="1" applyBorder="1" applyAlignment="1">
      <alignment/>
    </xf>
    <xf numFmtId="2" fontId="4" fillId="32" borderId="22" xfId="0" applyNumberFormat="1" applyFont="1" applyFill="1" applyBorder="1" applyAlignment="1">
      <alignment horizontal="center" wrapText="1"/>
    </xf>
    <xf numFmtId="0" fontId="7" fillId="29" borderId="65" xfId="0" applyFont="1" applyFill="1" applyBorder="1" applyAlignment="1">
      <alignment horizontal="center"/>
    </xf>
    <xf numFmtId="2" fontId="0" fillId="32" borderId="34" xfId="0" applyNumberFormat="1" applyFont="1" applyFill="1" applyBorder="1" applyAlignment="1">
      <alignment wrapText="1"/>
    </xf>
    <xf numFmtId="2" fontId="0" fillId="32" borderId="33" xfId="0" applyNumberFormat="1" applyFont="1" applyFill="1" applyBorder="1" applyAlignment="1">
      <alignment wrapText="1"/>
    </xf>
    <xf numFmtId="3" fontId="43" fillId="29" borderId="37" xfId="0" applyNumberFormat="1" applyFont="1" applyFill="1" applyBorder="1" applyAlignment="1">
      <alignment/>
    </xf>
    <xf numFmtId="9" fontId="43" fillId="29" borderId="37" xfId="72" applyFont="1" applyFill="1" applyBorder="1" applyAlignment="1">
      <alignment/>
    </xf>
    <xf numFmtId="3" fontId="43" fillId="29" borderId="42" xfId="0" applyNumberFormat="1" applyFont="1" applyFill="1" applyBorder="1" applyAlignment="1">
      <alignment/>
    </xf>
    <xf numFmtId="9" fontId="43" fillId="29" borderId="42" xfId="72" applyFont="1" applyFill="1" applyBorder="1" applyAlignment="1">
      <alignment/>
    </xf>
    <xf numFmtId="9" fontId="4" fillId="32" borderId="21" xfId="72" applyFont="1" applyFill="1" applyBorder="1" applyAlignment="1">
      <alignment horizontal="center" wrapText="1"/>
    </xf>
    <xf numFmtId="2" fontId="4" fillId="32" borderId="21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/>
    </xf>
    <xf numFmtId="0" fontId="13" fillId="32" borderId="21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0" fontId="13" fillId="32" borderId="34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9" fontId="0" fillId="32" borderId="33" xfId="72" applyFont="1" applyFill="1" applyBorder="1" applyAlignment="1">
      <alignment/>
    </xf>
    <xf numFmtId="0" fontId="1" fillId="32" borderId="11" xfId="0" applyFont="1" applyFill="1" applyBorder="1" applyAlignment="1">
      <alignment/>
    </xf>
    <xf numFmtId="3" fontId="0" fillId="32" borderId="13" xfId="0" applyNumberFormat="1" applyFont="1" applyFill="1" applyBorder="1" applyAlignment="1">
      <alignment/>
    </xf>
    <xf numFmtId="9" fontId="0" fillId="32" borderId="13" xfId="72" applyFont="1" applyFill="1" applyBorder="1" applyAlignment="1">
      <alignment/>
    </xf>
    <xf numFmtId="3" fontId="0" fillId="32" borderId="13" xfId="4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3" fontId="0" fillId="32" borderId="13" xfId="40" applyNumberFormat="1" applyFont="1" applyFill="1" applyBorder="1" applyAlignment="1">
      <alignment horizontal="righ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3" fontId="4" fillId="32" borderId="18" xfId="0" applyNumberFormat="1" applyFont="1" applyFill="1" applyBorder="1" applyAlignment="1">
      <alignment/>
    </xf>
    <xf numFmtId="9" fontId="4" fillId="32" borderId="18" xfId="72" applyFont="1" applyFill="1" applyBorder="1" applyAlignment="1">
      <alignment/>
    </xf>
    <xf numFmtId="0" fontId="13" fillId="32" borderId="11" xfId="0" applyFont="1" applyFill="1" applyBorder="1" applyAlignment="1">
      <alignment horizontal="left"/>
    </xf>
    <xf numFmtId="3" fontId="4" fillId="32" borderId="13" xfId="0" applyNumberFormat="1" applyFont="1" applyFill="1" applyBorder="1" applyAlignment="1">
      <alignment/>
    </xf>
    <xf numFmtId="9" fontId="4" fillId="32" borderId="13" xfId="72" applyFont="1" applyFill="1" applyBorder="1" applyAlignment="1">
      <alignment/>
    </xf>
    <xf numFmtId="4" fontId="6" fillId="32" borderId="11" xfId="0" applyNumberFormat="1" applyFont="1" applyFill="1" applyBorder="1" applyAlignment="1">
      <alignment horizontal="left"/>
    </xf>
    <xf numFmtId="3" fontId="0" fillId="32" borderId="13" xfId="0" applyNumberFormat="1" applyFont="1" applyFill="1" applyBorder="1" applyAlignment="1">
      <alignment/>
    </xf>
    <xf numFmtId="9" fontId="0" fillId="32" borderId="13" xfId="72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13" fillId="32" borderId="17" xfId="0" applyFont="1" applyFill="1" applyBorder="1" applyAlignment="1">
      <alignment horizontal="left"/>
    </xf>
    <xf numFmtId="3" fontId="4" fillId="32" borderId="85" xfId="0" applyNumberFormat="1" applyFont="1" applyFill="1" applyBorder="1" applyAlignment="1">
      <alignment/>
    </xf>
    <xf numFmtId="9" fontId="4" fillId="32" borderId="85" xfId="72" applyFont="1" applyFill="1" applyBorder="1" applyAlignment="1">
      <alignment/>
    </xf>
    <xf numFmtId="0" fontId="4" fillId="32" borderId="11" xfId="0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9" fontId="4" fillId="32" borderId="14" xfId="72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4" fillId="32" borderId="21" xfId="0" applyFont="1" applyFill="1" applyBorder="1" applyAlignment="1">
      <alignment/>
    </xf>
    <xf numFmtId="3" fontId="8" fillId="32" borderId="21" xfId="0" applyNumberFormat="1" applyFont="1" applyFill="1" applyBorder="1" applyAlignment="1">
      <alignment/>
    </xf>
    <xf numFmtId="9" fontId="8" fillId="32" borderId="21" xfId="72" applyFont="1" applyFill="1" applyBorder="1" applyAlignment="1">
      <alignment/>
    </xf>
    <xf numFmtId="0" fontId="20" fillId="32" borderId="11" xfId="59" applyFont="1" applyFill="1" applyBorder="1" applyAlignment="1">
      <alignment horizontal="center"/>
      <protection/>
    </xf>
    <xf numFmtId="166" fontId="20" fillId="32" borderId="86" xfId="40" applyNumberFormat="1" applyFont="1" applyFill="1" applyBorder="1" applyAlignment="1">
      <alignment horizontal="center"/>
    </xf>
    <xf numFmtId="166" fontId="20" fillId="32" borderId="87" xfId="40" applyNumberFormat="1" applyFont="1" applyFill="1" applyBorder="1" applyAlignment="1">
      <alignment horizontal="center"/>
    </xf>
    <xf numFmtId="166" fontId="20" fillId="32" borderId="88" xfId="40" applyNumberFormat="1" applyFont="1" applyFill="1" applyBorder="1" applyAlignment="1">
      <alignment horizontal="center"/>
    </xf>
    <xf numFmtId="166" fontId="46" fillId="32" borderId="66" xfId="40" applyNumberFormat="1" applyFont="1" applyFill="1" applyBorder="1" applyAlignment="1">
      <alignment horizontal="center"/>
    </xf>
    <xf numFmtId="166" fontId="20" fillId="32" borderId="55" xfId="40" applyNumberFormat="1" applyFont="1" applyFill="1" applyBorder="1" applyAlignment="1">
      <alignment horizontal="center"/>
    </xf>
    <xf numFmtId="166" fontId="20" fillId="32" borderId="79" xfId="40" applyNumberFormat="1" applyFont="1" applyFill="1" applyBorder="1" applyAlignment="1">
      <alignment horizontal="center"/>
    </xf>
    <xf numFmtId="166" fontId="20" fillId="32" borderId="89" xfId="40" applyNumberFormat="1" applyFont="1" applyFill="1" applyBorder="1" applyAlignment="1">
      <alignment horizontal="center"/>
    </xf>
    <xf numFmtId="166" fontId="20" fillId="32" borderId="90" xfId="40" applyNumberFormat="1" applyFont="1" applyFill="1" applyBorder="1" applyAlignment="1">
      <alignment horizontal="center"/>
    </xf>
    <xf numFmtId="166" fontId="45" fillId="32" borderId="83" xfId="40" applyNumberFormat="1" applyFont="1" applyFill="1" applyBorder="1" applyAlignment="1">
      <alignment/>
    </xf>
    <xf numFmtId="166" fontId="45" fillId="32" borderId="32" xfId="40" applyNumberFormat="1" applyFont="1" applyFill="1" applyBorder="1" applyAlignment="1">
      <alignment/>
    </xf>
    <xf numFmtId="166" fontId="19" fillId="32" borderId="25" xfId="40" applyNumberFormat="1" applyFont="1" applyFill="1" applyBorder="1" applyAlignment="1">
      <alignment/>
    </xf>
    <xf numFmtId="0" fontId="46" fillId="32" borderId="12" xfId="59" applyFont="1" applyFill="1" applyBorder="1" applyAlignment="1">
      <alignment wrapText="1"/>
      <protection/>
    </xf>
    <xf numFmtId="166" fontId="46" fillId="32" borderId="91" xfId="40" applyNumberFormat="1" applyFont="1" applyFill="1" applyBorder="1" applyAlignment="1">
      <alignment/>
    </xf>
    <xf numFmtId="166" fontId="46" fillId="32" borderId="92" xfId="40" applyNumberFormat="1" applyFont="1" applyFill="1" applyBorder="1" applyAlignment="1">
      <alignment/>
    </xf>
    <xf numFmtId="166" fontId="46" fillId="32" borderId="93" xfId="40" applyNumberFormat="1" applyFont="1" applyFill="1" applyBorder="1" applyAlignment="1">
      <alignment/>
    </xf>
    <xf numFmtId="166" fontId="46" fillId="32" borderId="83" xfId="40" applyNumberFormat="1" applyFont="1" applyFill="1" applyBorder="1" applyAlignment="1">
      <alignment/>
    </xf>
    <xf numFmtId="166" fontId="46" fillId="32" borderId="32" xfId="40" applyNumberFormat="1" applyFont="1" applyFill="1" applyBorder="1" applyAlignment="1">
      <alignment/>
    </xf>
    <xf numFmtId="166" fontId="46" fillId="32" borderId="25" xfId="40" applyNumberFormat="1" applyFont="1" applyFill="1" applyBorder="1" applyAlignment="1">
      <alignment/>
    </xf>
    <xf numFmtId="0" fontId="46" fillId="32" borderId="12" xfId="59" applyFont="1" applyFill="1" applyBorder="1">
      <alignment/>
      <protection/>
    </xf>
    <xf numFmtId="166" fontId="46" fillId="32" borderId="60" xfId="40" applyNumberFormat="1" applyFont="1" applyFill="1" applyBorder="1" applyAlignment="1">
      <alignment/>
    </xf>
    <xf numFmtId="166" fontId="46" fillId="32" borderId="23" xfId="40" applyNumberFormat="1" applyFont="1" applyFill="1" applyBorder="1" applyAlignment="1">
      <alignment/>
    </xf>
    <xf numFmtId="166" fontId="46" fillId="32" borderId="24" xfId="40" applyNumberFormat="1" applyFont="1" applyFill="1" applyBorder="1" applyAlignment="1">
      <alignment/>
    </xf>
    <xf numFmtId="0" fontId="45" fillId="32" borderId="11" xfId="59" applyFont="1" applyFill="1" applyBorder="1">
      <alignment/>
      <protection/>
    </xf>
    <xf numFmtId="166" fontId="45" fillId="32" borderId="86" xfId="40" applyNumberFormat="1" applyFont="1" applyFill="1" applyBorder="1" applyAlignment="1">
      <alignment/>
    </xf>
    <xf numFmtId="166" fontId="45" fillId="32" borderId="94" xfId="40" applyNumberFormat="1" applyFont="1" applyFill="1" applyBorder="1" applyAlignment="1">
      <alignment/>
    </xf>
    <xf numFmtId="166" fontId="45" fillId="32" borderId="90" xfId="40" applyNumberFormat="1" applyFont="1" applyFill="1" applyBorder="1" applyAlignment="1">
      <alignment/>
    </xf>
    <xf numFmtId="166" fontId="45" fillId="32" borderId="66" xfId="40" applyNumberFormat="1" applyFont="1" applyFill="1" applyBorder="1" applyAlignment="1">
      <alignment/>
    </xf>
    <xf numFmtId="166" fontId="45" fillId="32" borderId="55" xfId="40" applyNumberFormat="1" applyFont="1" applyFill="1" applyBorder="1" applyAlignment="1">
      <alignment/>
    </xf>
    <xf numFmtId="166" fontId="19" fillId="32" borderId="79" xfId="40" applyNumberFormat="1" applyFont="1" applyFill="1" applyBorder="1" applyAlignment="1">
      <alignment/>
    </xf>
    <xf numFmtId="166" fontId="45" fillId="32" borderId="79" xfId="40" applyNumberFormat="1" applyFont="1" applyFill="1" applyBorder="1" applyAlignment="1">
      <alignment/>
    </xf>
    <xf numFmtId="0" fontId="46" fillId="32" borderId="11" xfId="59" applyFont="1" applyFill="1" applyBorder="1">
      <alignment/>
      <protection/>
    </xf>
    <xf numFmtId="166" fontId="46" fillId="32" borderId="86" xfId="40" applyNumberFormat="1" applyFont="1" applyFill="1" applyBorder="1" applyAlignment="1">
      <alignment/>
    </xf>
    <xf numFmtId="166" fontId="46" fillId="32" borderId="94" xfId="40" applyNumberFormat="1" applyFont="1" applyFill="1" applyBorder="1" applyAlignment="1">
      <alignment/>
    </xf>
    <xf numFmtId="166" fontId="46" fillId="32" borderId="90" xfId="40" applyNumberFormat="1" applyFont="1" applyFill="1" applyBorder="1" applyAlignment="1">
      <alignment/>
    </xf>
    <xf numFmtId="166" fontId="46" fillId="32" borderId="66" xfId="40" applyNumberFormat="1" applyFont="1" applyFill="1" applyBorder="1" applyAlignment="1">
      <alignment/>
    </xf>
    <xf numFmtId="166" fontId="46" fillId="32" borderId="55" xfId="40" applyNumberFormat="1" applyFont="1" applyFill="1" applyBorder="1" applyAlignment="1">
      <alignment/>
    </xf>
    <xf numFmtId="166" fontId="46" fillId="32" borderId="79" xfId="40" applyNumberFormat="1" applyFont="1" applyFill="1" applyBorder="1" applyAlignment="1">
      <alignment/>
    </xf>
    <xf numFmtId="166" fontId="46" fillId="32" borderId="95" xfId="40" applyNumberFormat="1" applyFont="1" applyFill="1" applyBorder="1" applyAlignment="1">
      <alignment/>
    </xf>
    <xf numFmtId="166" fontId="46" fillId="32" borderId="12" xfId="40" applyNumberFormat="1" applyFont="1" applyFill="1" applyBorder="1" applyAlignment="1">
      <alignment/>
    </xf>
    <xf numFmtId="166" fontId="45" fillId="32" borderId="11" xfId="40" applyNumberFormat="1" applyFont="1" applyFill="1" applyBorder="1" applyAlignment="1">
      <alignment/>
    </xf>
    <xf numFmtId="166" fontId="45" fillId="32" borderId="89" xfId="40" applyNumberFormat="1" applyFont="1" applyFill="1" applyBorder="1" applyAlignment="1">
      <alignment/>
    </xf>
    <xf numFmtId="166" fontId="46" fillId="32" borderId="96" xfId="40" applyNumberFormat="1" applyFont="1" applyFill="1" applyBorder="1" applyAlignment="1">
      <alignment/>
    </xf>
    <xf numFmtId="166" fontId="45" fillId="32" borderId="97" xfId="40" applyNumberFormat="1" applyFont="1" applyFill="1" applyBorder="1" applyAlignment="1">
      <alignment/>
    </xf>
    <xf numFmtId="166" fontId="45" fillId="32" borderId="98" xfId="40" applyNumberFormat="1" applyFont="1" applyFill="1" applyBorder="1" applyAlignment="1">
      <alignment/>
    </xf>
    <xf numFmtId="166" fontId="45" fillId="32" borderId="43" xfId="40" applyNumberFormat="1" applyFont="1" applyFill="1" applyBorder="1" applyAlignment="1">
      <alignment horizontal="right"/>
    </xf>
    <xf numFmtId="166" fontId="45" fillId="32" borderId="90" xfId="40" applyNumberFormat="1" applyFont="1" applyFill="1" applyBorder="1" applyAlignment="1">
      <alignment horizontal="right"/>
    </xf>
    <xf numFmtId="166" fontId="45" fillId="32" borderId="11" xfId="40" applyNumberFormat="1" applyFont="1" applyFill="1" applyBorder="1" applyAlignment="1">
      <alignment horizontal="right"/>
    </xf>
    <xf numFmtId="166" fontId="45" fillId="32" borderId="99" xfId="40" applyNumberFormat="1" applyFont="1" applyFill="1" applyBorder="1" applyAlignment="1">
      <alignment/>
    </xf>
    <xf numFmtId="0" fontId="20" fillId="32" borderId="22" xfId="59" applyFont="1" applyFill="1" applyBorder="1">
      <alignment/>
      <protection/>
    </xf>
    <xf numFmtId="166" fontId="20" fillId="32" borderId="100" xfId="40" applyNumberFormat="1" applyFont="1" applyFill="1" applyBorder="1" applyAlignment="1">
      <alignment/>
    </xf>
    <xf numFmtId="166" fontId="20" fillId="32" borderId="101" xfId="40" applyNumberFormat="1" applyFont="1" applyFill="1" applyBorder="1" applyAlignment="1">
      <alignment/>
    </xf>
    <xf numFmtId="166" fontId="20" fillId="32" borderId="102" xfId="40" applyNumberFormat="1" applyFont="1" applyFill="1" applyBorder="1" applyAlignment="1">
      <alignment/>
    </xf>
    <xf numFmtId="166" fontId="20" fillId="32" borderId="62" xfId="40" applyNumberFormat="1" applyFont="1" applyFill="1" applyBorder="1" applyAlignment="1">
      <alignment/>
    </xf>
    <xf numFmtId="166" fontId="20" fillId="32" borderId="52" xfId="40" applyNumberFormat="1" applyFont="1" applyFill="1" applyBorder="1" applyAlignment="1">
      <alignment/>
    </xf>
    <xf numFmtId="166" fontId="20" fillId="32" borderId="78" xfId="40" applyNumberFormat="1" applyFont="1" applyFill="1" applyBorder="1" applyAlignment="1">
      <alignment/>
    </xf>
    <xf numFmtId="166" fontId="46" fillId="32" borderId="103" xfId="40" applyNumberFormat="1" applyFont="1" applyFill="1" applyBorder="1" applyAlignment="1">
      <alignment/>
    </xf>
    <xf numFmtId="166" fontId="45" fillId="32" borderId="91" xfId="40" applyNumberFormat="1" applyFont="1" applyFill="1" applyBorder="1" applyAlignment="1">
      <alignment/>
    </xf>
    <xf numFmtId="166" fontId="45" fillId="32" borderId="95" xfId="40" applyNumberFormat="1" applyFont="1" applyFill="1" applyBorder="1" applyAlignment="1">
      <alignment/>
    </xf>
    <xf numFmtId="166" fontId="45" fillId="32" borderId="60" xfId="40" applyNumberFormat="1" applyFont="1" applyFill="1" applyBorder="1" applyAlignment="1">
      <alignment/>
    </xf>
    <xf numFmtId="166" fontId="45" fillId="32" borderId="23" xfId="40" applyNumberFormat="1" applyFont="1" applyFill="1" applyBorder="1" applyAlignment="1">
      <alignment/>
    </xf>
    <xf numFmtId="166" fontId="19" fillId="32" borderId="24" xfId="40" applyNumberFormat="1" applyFont="1" applyFill="1" applyBorder="1" applyAlignment="1">
      <alignment/>
    </xf>
    <xf numFmtId="0" fontId="46" fillId="32" borderId="22" xfId="59" applyFont="1" applyFill="1" applyBorder="1">
      <alignment/>
      <protection/>
    </xf>
    <xf numFmtId="166" fontId="46" fillId="32" borderId="100" xfId="40" applyNumberFormat="1" applyFont="1" applyFill="1" applyBorder="1" applyAlignment="1">
      <alignment/>
    </xf>
    <xf numFmtId="166" fontId="46" fillId="32" borderId="104" xfId="40" applyNumberFormat="1" applyFont="1" applyFill="1" applyBorder="1" applyAlignment="1">
      <alignment/>
    </xf>
    <xf numFmtId="166" fontId="45" fillId="32" borderId="62" xfId="40" applyNumberFormat="1" applyFont="1" applyFill="1" applyBorder="1" applyAlignment="1">
      <alignment/>
    </xf>
    <xf numFmtId="166" fontId="45" fillId="32" borderId="52" xfId="40" applyNumberFormat="1" applyFont="1" applyFill="1" applyBorder="1" applyAlignment="1">
      <alignment/>
    </xf>
    <xf numFmtId="166" fontId="45" fillId="32" borderId="78" xfId="40" applyNumberFormat="1" applyFont="1" applyFill="1" applyBorder="1" applyAlignment="1">
      <alignment/>
    </xf>
    <xf numFmtId="166" fontId="46" fillId="32" borderId="89" xfId="40" applyNumberFormat="1" applyFont="1" applyFill="1" applyBorder="1" applyAlignment="1">
      <alignment/>
    </xf>
    <xf numFmtId="0" fontId="45" fillId="32" borderId="105" xfId="59" applyFont="1" applyFill="1" applyBorder="1">
      <alignment/>
      <protection/>
    </xf>
    <xf numFmtId="166" fontId="46" fillId="32" borderId="106" xfId="40" applyNumberFormat="1" applyFont="1" applyFill="1" applyBorder="1" applyAlignment="1">
      <alignment/>
    </xf>
    <xf numFmtId="166" fontId="46" fillId="32" borderId="107" xfId="40" applyNumberFormat="1" applyFont="1" applyFill="1" applyBorder="1" applyAlignment="1">
      <alignment/>
    </xf>
    <xf numFmtId="166" fontId="45" fillId="32" borderId="108" xfId="40" applyNumberFormat="1" applyFont="1" applyFill="1" applyBorder="1" applyAlignment="1">
      <alignment/>
    </xf>
    <xf numFmtId="0" fontId="46" fillId="32" borderId="109" xfId="59" applyFont="1" applyFill="1" applyBorder="1">
      <alignment/>
      <protection/>
    </xf>
    <xf numFmtId="166" fontId="46" fillId="32" borderId="110" xfId="40" applyNumberFormat="1" applyFont="1" applyFill="1" applyBorder="1" applyAlignment="1">
      <alignment/>
    </xf>
    <xf numFmtId="166" fontId="46" fillId="32" borderId="87" xfId="40" applyNumberFormat="1" applyFont="1" applyFill="1" applyBorder="1" applyAlignment="1">
      <alignment/>
    </xf>
    <xf numFmtId="166" fontId="46" fillId="32" borderId="88" xfId="40" applyNumberFormat="1" applyFont="1" applyFill="1" applyBorder="1" applyAlignment="1">
      <alignment/>
    </xf>
    <xf numFmtId="166" fontId="45" fillId="32" borderId="111" xfId="40" applyNumberFormat="1" applyFont="1" applyFill="1" applyBorder="1" applyAlignment="1">
      <alignment/>
    </xf>
    <xf numFmtId="166" fontId="45" fillId="32" borderId="38" xfId="40" applyNumberFormat="1" applyFont="1" applyFill="1" applyBorder="1" applyAlignment="1">
      <alignment/>
    </xf>
    <xf numFmtId="166" fontId="19" fillId="32" borderId="77" xfId="40" applyNumberFormat="1" applyFont="1" applyFill="1" applyBorder="1" applyAlignment="1">
      <alignment/>
    </xf>
    <xf numFmtId="0" fontId="1" fillId="29" borderId="16" xfId="0" applyFont="1" applyFill="1" applyBorder="1" applyAlignment="1">
      <alignment horizontal="right"/>
    </xf>
    <xf numFmtId="9" fontId="1" fillId="29" borderId="16" xfId="72" applyFont="1" applyFill="1" applyBorder="1" applyAlignment="1">
      <alignment horizontal="right"/>
    </xf>
    <xf numFmtId="3" fontId="13" fillId="29" borderId="24" xfId="0" applyNumberFormat="1" applyFont="1" applyFill="1" applyBorder="1" applyAlignment="1">
      <alignment horizontal="right"/>
    </xf>
    <xf numFmtId="9" fontId="13" fillId="29" borderId="24" xfId="72" applyFont="1" applyFill="1" applyBorder="1" applyAlignment="1">
      <alignment horizontal="right"/>
    </xf>
    <xf numFmtId="3" fontId="1" fillId="29" borderId="25" xfId="0" applyNumberFormat="1" applyFont="1" applyFill="1" applyBorder="1" applyAlignment="1">
      <alignment horizontal="right"/>
    </xf>
    <xf numFmtId="9" fontId="1" fillId="29" borderId="25" xfId="72" applyFont="1" applyFill="1" applyBorder="1" applyAlignment="1">
      <alignment horizontal="right"/>
    </xf>
    <xf numFmtId="9" fontId="1" fillId="29" borderId="24" xfId="72" applyFont="1" applyFill="1" applyBorder="1" applyAlignment="1">
      <alignment horizontal="right"/>
    </xf>
    <xf numFmtId="3" fontId="13" fillId="29" borderId="21" xfId="40" applyNumberFormat="1" applyFont="1" applyFill="1" applyBorder="1" applyAlignment="1">
      <alignment horizontal="right"/>
    </xf>
    <xf numFmtId="9" fontId="13" fillId="29" borderId="21" xfId="72" applyFont="1" applyFill="1" applyBorder="1" applyAlignment="1">
      <alignment horizontal="right"/>
    </xf>
    <xf numFmtId="0" fontId="1" fillId="29" borderId="25" xfId="0" applyFont="1" applyFill="1" applyBorder="1" applyAlignment="1">
      <alignment horizontal="right"/>
    </xf>
    <xf numFmtId="3" fontId="1" fillId="29" borderId="24" xfId="0" applyNumberFormat="1" applyFont="1" applyFill="1" applyBorder="1" applyAlignment="1">
      <alignment horizontal="right"/>
    </xf>
    <xf numFmtId="9" fontId="1" fillId="29" borderId="24" xfId="72" applyFont="1" applyFill="1" applyBorder="1" applyAlignment="1">
      <alignment horizontal="right"/>
    </xf>
    <xf numFmtId="3" fontId="1" fillId="29" borderId="77" xfId="0" applyNumberFormat="1" applyFont="1" applyFill="1" applyBorder="1" applyAlignment="1">
      <alignment horizontal="right"/>
    </xf>
    <xf numFmtId="9" fontId="1" fillId="29" borderId="77" xfId="72" applyFont="1" applyFill="1" applyBorder="1" applyAlignment="1">
      <alignment horizontal="right"/>
    </xf>
    <xf numFmtId="3" fontId="1" fillId="29" borderId="77" xfId="0" applyNumberFormat="1" applyFont="1" applyFill="1" applyBorder="1" applyAlignment="1">
      <alignment horizontal="right"/>
    </xf>
    <xf numFmtId="9" fontId="1" fillId="29" borderId="77" xfId="72" applyFont="1" applyFill="1" applyBorder="1" applyAlignment="1">
      <alignment horizontal="right"/>
    </xf>
    <xf numFmtId="0" fontId="4" fillId="32" borderId="0" xfId="0" applyFont="1" applyFill="1" applyAlignment="1">
      <alignment/>
    </xf>
    <xf numFmtId="3" fontId="5" fillId="27" borderId="23" xfId="0" applyNumberFormat="1" applyFont="1" applyFill="1" applyBorder="1" applyAlignment="1">
      <alignment horizontal="right"/>
    </xf>
    <xf numFmtId="3" fontId="7" fillId="27" borderId="62" xfId="40" applyNumberFormat="1" applyFont="1" applyFill="1" applyBorder="1" applyAlignment="1">
      <alignment horizontal="right"/>
    </xf>
    <xf numFmtId="3" fontId="5" fillId="27" borderId="64" xfId="0" applyNumberFormat="1" applyFont="1" applyFill="1" applyBorder="1" applyAlignment="1">
      <alignment horizontal="right"/>
    </xf>
    <xf numFmtId="3" fontId="5" fillId="27" borderId="55" xfId="0" applyNumberFormat="1" applyFont="1" applyFill="1" applyBorder="1" applyAlignment="1">
      <alignment horizontal="right"/>
    </xf>
    <xf numFmtId="3" fontId="7" fillId="27" borderId="52" xfId="0" applyNumberFormat="1" applyFont="1" applyFill="1" applyBorder="1" applyAlignment="1">
      <alignment/>
    </xf>
    <xf numFmtId="166" fontId="5" fillId="27" borderId="0" xfId="0" applyNumberFormat="1" applyFont="1" applyFill="1" applyAlignment="1">
      <alignment horizontal="right"/>
    </xf>
    <xf numFmtId="3" fontId="7" fillId="27" borderId="52" xfId="0" applyNumberFormat="1" applyFont="1" applyFill="1" applyBorder="1" applyAlignment="1">
      <alignment/>
    </xf>
    <xf numFmtId="3" fontId="0" fillId="29" borderId="32" xfId="0" applyNumberFormat="1" applyFont="1" applyFill="1" applyBorder="1" applyAlignment="1">
      <alignment/>
    </xf>
    <xf numFmtId="3" fontId="0" fillId="29" borderId="23" xfId="0" applyNumberFormat="1" applyFont="1" applyFill="1" applyBorder="1" applyAlignment="1">
      <alignment/>
    </xf>
    <xf numFmtId="3" fontId="0" fillId="29" borderId="38" xfId="0" applyNumberFormat="1" applyFont="1" applyFill="1" applyBorder="1" applyAlignment="1">
      <alignment/>
    </xf>
    <xf numFmtId="3" fontId="0" fillId="29" borderId="46" xfId="0" applyNumberFormat="1" applyFont="1" applyFill="1" applyBorder="1" applyAlignment="1">
      <alignment/>
    </xf>
    <xf numFmtId="3" fontId="4" fillId="29" borderId="32" xfId="0" applyNumberFormat="1" applyFont="1" applyFill="1" applyBorder="1" applyAlignment="1">
      <alignment/>
    </xf>
    <xf numFmtId="3" fontId="4" fillId="29" borderId="50" xfId="0" applyNumberFormat="1" applyFont="1" applyFill="1" applyBorder="1" applyAlignment="1">
      <alignment/>
    </xf>
    <xf numFmtId="3" fontId="18" fillId="29" borderId="32" xfId="0" applyNumberFormat="1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78" xfId="0" applyFill="1" applyBorder="1" applyAlignment="1">
      <alignment/>
    </xf>
    <xf numFmtId="0" fontId="7" fillId="32" borderId="71" xfId="0" applyFont="1" applyFill="1" applyBorder="1" applyAlignment="1">
      <alignment horizontal="center"/>
    </xf>
    <xf numFmtId="0" fontId="7" fillId="32" borderId="70" xfId="0" applyFont="1" applyFill="1" applyBorder="1" applyAlignment="1">
      <alignment horizontal="center"/>
    </xf>
    <xf numFmtId="0" fontId="7" fillId="32" borderId="82" xfId="0" applyFont="1" applyFill="1" applyBorder="1" applyAlignment="1">
      <alignment horizontal="center"/>
    </xf>
    <xf numFmtId="0" fontId="5" fillId="32" borderId="63" xfId="0" applyFont="1" applyFill="1" applyBorder="1" applyAlignment="1">
      <alignment/>
    </xf>
    <xf numFmtId="0" fontId="5" fillId="32" borderId="64" xfId="0" applyFont="1" applyFill="1" applyBorder="1" applyAlignment="1">
      <alignment/>
    </xf>
    <xf numFmtId="0" fontId="7" fillId="32" borderId="56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7" fillId="32" borderId="112" xfId="0" applyFont="1" applyFill="1" applyBorder="1" applyAlignment="1">
      <alignment horizontal="center"/>
    </xf>
    <xf numFmtId="9" fontId="7" fillId="32" borderId="112" xfId="72" applyFont="1" applyFill="1" applyBorder="1" applyAlignment="1">
      <alignment horizontal="center"/>
    </xf>
    <xf numFmtId="9" fontId="7" fillId="32" borderId="56" xfId="72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7" fillId="32" borderId="67" xfId="0" applyFont="1" applyFill="1" applyBorder="1" applyAlignment="1">
      <alignment/>
    </xf>
    <xf numFmtId="0" fontId="7" fillId="32" borderId="68" xfId="0" applyFont="1" applyFill="1" applyBorder="1" applyAlignment="1">
      <alignment horizontal="center" wrapText="1"/>
    </xf>
    <xf numFmtId="0" fontId="7" fillId="32" borderId="113" xfId="0" applyFont="1" applyFill="1" applyBorder="1" applyAlignment="1">
      <alignment horizontal="center" wrapText="1"/>
    </xf>
    <xf numFmtId="9" fontId="7" fillId="32" borderId="113" xfId="72" applyFont="1" applyFill="1" applyBorder="1" applyAlignment="1">
      <alignment horizontal="center" wrapText="1"/>
    </xf>
    <xf numFmtId="0" fontId="7" fillId="32" borderId="114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3" fontId="7" fillId="32" borderId="63" xfId="0" applyNumberFormat="1" applyFont="1" applyFill="1" applyBorder="1" applyAlignment="1">
      <alignment/>
    </xf>
    <xf numFmtId="3" fontId="7" fillId="32" borderId="70" xfId="0" applyNumberFormat="1" applyFont="1" applyFill="1" applyBorder="1" applyAlignment="1">
      <alignment/>
    </xf>
    <xf numFmtId="3" fontId="7" fillId="32" borderId="65" xfId="0" applyNumberFormat="1" applyFont="1" applyFill="1" applyBorder="1" applyAlignment="1">
      <alignment/>
    </xf>
    <xf numFmtId="9" fontId="7" fillId="32" borderId="65" xfId="72" applyFont="1" applyFill="1" applyBorder="1" applyAlignment="1">
      <alignment/>
    </xf>
    <xf numFmtId="3" fontId="7" fillId="32" borderId="115" xfId="0" applyNumberFormat="1" applyFont="1" applyFill="1" applyBorder="1" applyAlignment="1">
      <alignment/>
    </xf>
    <xf numFmtId="3" fontId="7" fillId="32" borderId="33" xfId="0" applyNumberFormat="1" applyFont="1" applyFill="1" applyBorder="1" applyAlignment="1">
      <alignment/>
    </xf>
    <xf numFmtId="3" fontId="7" fillId="32" borderId="51" xfId="0" applyNumberFormat="1" applyFont="1" applyFill="1" applyBorder="1" applyAlignment="1">
      <alignment/>
    </xf>
    <xf numFmtId="3" fontId="7" fillId="32" borderId="71" xfId="0" applyNumberFormat="1" applyFont="1" applyFill="1" applyBorder="1" applyAlignment="1">
      <alignment vertical="center" wrapText="1"/>
    </xf>
    <xf numFmtId="3" fontId="7" fillId="32" borderId="53" xfId="0" applyNumberFormat="1" applyFont="1" applyFill="1" applyBorder="1" applyAlignment="1">
      <alignment/>
    </xf>
    <xf numFmtId="9" fontId="7" fillId="32" borderId="53" xfId="72" applyFont="1" applyFill="1" applyBorder="1" applyAlignment="1">
      <alignment/>
    </xf>
    <xf numFmtId="3" fontId="7" fillId="32" borderId="116" xfId="0" applyNumberFormat="1" applyFont="1" applyFill="1" applyBorder="1" applyAlignment="1">
      <alignment/>
    </xf>
    <xf numFmtId="3" fontId="7" fillId="32" borderId="21" xfId="0" applyNumberFormat="1" applyFont="1" applyFill="1" applyBorder="1" applyAlignment="1">
      <alignment/>
    </xf>
    <xf numFmtId="3" fontId="5" fillId="32" borderId="41" xfId="0" applyNumberFormat="1" applyFont="1" applyFill="1" applyBorder="1" applyAlignment="1">
      <alignment/>
    </xf>
    <xf numFmtId="3" fontId="5" fillId="32" borderId="72" xfId="0" applyNumberFormat="1" applyFont="1" applyFill="1" applyBorder="1" applyAlignment="1">
      <alignment/>
    </xf>
    <xf numFmtId="3" fontId="5" fillId="32" borderId="42" xfId="0" applyNumberFormat="1" applyFont="1" applyFill="1" applyBorder="1" applyAlignment="1">
      <alignment/>
    </xf>
    <xf numFmtId="9" fontId="5" fillId="32" borderId="42" xfId="72" applyFont="1" applyFill="1" applyBorder="1" applyAlignment="1">
      <alignment/>
    </xf>
    <xf numFmtId="3" fontId="5" fillId="32" borderId="74" xfId="0" applyNumberFormat="1" applyFont="1" applyFill="1" applyBorder="1" applyAlignment="1">
      <alignment/>
    </xf>
    <xf numFmtId="3" fontId="5" fillId="32" borderId="16" xfId="0" applyNumberFormat="1" applyFont="1" applyFill="1" applyBorder="1" applyAlignment="1">
      <alignment/>
    </xf>
    <xf numFmtId="3" fontId="5" fillId="32" borderId="35" xfId="0" applyNumberFormat="1" applyFont="1" applyFill="1" applyBorder="1" applyAlignment="1">
      <alignment/>
    </xf>
    <xf numFmtId="3" fontId="5" fillId="32" borderId="73" xfId="0" applyNumberFormat="1" applyFont="1" applyFill="1" applyBorder="1" applyAlignment="1">
      <alignment/>
    </xf>
    <xf numFmtId="3" fontId="5" fillId="32" borderId="48" xfId="0" applyNumberFormat="1" applyFont="1" applyFill="1" applyBorder="1" applyAlignment="1">
      <alignment/>
    </xf>
    <xf numFmtId="3" fontId="5" fillId="32" borderId="20" xfId="0" applyNumberFormat="1" applyFont="1" applyFill="1" applyBorder="1" applyAlignment="1">
      <alignment/>
    </xf>
    <xf numFmtId="3" fontId="5" fillId="32" borderId="37" xfId="0" applyNumberFormat="1" applyFont="1" applyFill="1" applyBorder="1" applyAlignment="1">
      <alignment/>
    </xf>
    <xf numFmtId="9" fontId="5" fillId="32" borderId="37" xfId="72" applyFont="1" applyFill="1" applyBorder="1" applyAlignment="1">
      <alignment/>
    </xf>
    <xf numFmtId="3" fontId="5" fillId="32" borderId="18" xfId="0" applyNumberFormat="1" applyFont="1" applyFill="1" applyBorder="1" applyAlignment="1">
      <alignment/>
    </xf>
    <xf numFmtId="3" fontId="43" fillId="32" borderId="44" xfId="0" applyNumberFormat="1" applyFont="1" applyFill="1" applyBorder="1" applyAlignment="1">
      <alignment/>
    </xf>
    <xf numFmtId="3" fontId="43" fillId="32" borderId="72" xfId="0" applyNumberFormat="1" applyFont="1" applyFill="1" applyBorder="1" applyAlignment="1">
      <alignment/>
    </xf>
    <xf numFmtId="3" fontId="43" fillId="32" borderId="37" xfId="0" applyNumberFormat="1" applyFont="1" applyFill="1" applyBorder="1" applyAlignment="1">
      <alignment/>
    </xf>
    <xf numFmtId="9" fontId="43" fillId="32" borderId="37" xfId="72" applyFont="1" applyFill="1" applyBorder="1" applyAlignment="1">
      <alignment/>
    </xf>
    <xf numFmtId="3" fontId="43" fillId="32" borderId="20" xfId="0" applyNumberFormat="1" applyFont="1" applyFill="1" applyBorder="1" applyAlignment="1">
      <alignment/>
    </xf>
    <xf numFmtId="3" fontId="43" fillId="32" borderId="18" xfId="0" applyNumberFormat="1" applyFont="1" applyFill="1" applyBorder="1" applyAlignment="1">
      <alignment/>
    </xf>
    <xf numFmtId="3" fontId="43" fillId="32" borderId="44" xfId="0" applyNumberFormat="1" applyFont="1" applyFill="1" applyBorder="1" applyAlignment="1">
      <alignment horizontal="right"/>
    </xf>
    <xf numFmtId="3" fontId="43" fillId="32" borderId="74" xfId="0" applyNumberFormat="1" applyFont="1" applyFill="1" applyBorder="1" applyAlignment="1">
      <alignment/>
    </xf>
    <xf numFmtId="3" fontId="43" fillId="32" borderId="41" xfId="0" applyNumberFormat="1" applyFont="1" applyFill="1" applyBorder="1" applyAlignment="1">
      <alignment horizontal="right"/>
    </xf>
    <xf numFmtId="3" fontId="43" fillId="32" borderId="42" xfId="0" applyNumberFormat="1" applyFont="1" applyFill="1" applyBorder="1" applyAlignment="1">
      <alignment/>
    </xf>
    <xf numFmtId="9" fontId="43" fillId="32" borderId="42" xfId="72" applyFont="1" applyFill="1" applyBorder="1" applyAlignment="1">
      <alignment/>
    </xf>
    <xf numFmtId="3" fontId="43" fillId="32" borderId="16" xfId="0" applyNumberFormat="1" applyFont="1" applyFill="1" applyBorder="1" applyAlignment="1">
      <alignment/>
    </xf>
    <xf numFmtId="3" fontId="5" fillId="32" borderId="31" xfId="0" applyNumberFormat="1" applyFont="1" applyFill="1" applyBorder="1" applyAlignment="1">
      <alignment/>
    </xf>
    <xf numFmtId="3" fontId="5" fillId="32" borderId="58" xfId="0" applyNumberFormat="1" applyFont="1" applyFill="1" applyBorder="1" applyAlignment="1">
      <alignment/>
    </xf>
    <xf numFmtId="3" fontId="5" fillId="32" borderId="59" xfId="0" applyNumberFormat="1" applyFont="1" applyFill="1" applyBorder="1" applyAlignment="1">
      <alignment/>
    </xf>
    <xf numFmtId="9" fontId="5" fillId="32" borderId="59" xfId="72" applyFont="1" applyFill="1" applyBorder="1" applyAlignment="1">
      <alignment/>
    </xf>
    <xf numFmtId="3" fontId="5" fillId="32" borderId="117" xfId="0" applyNumberFormat="1" applyFont="1" applyFill="1" applyBorder="1" applyAlignment="1">
      <alignment/>
    </xf>
    <xf numFmtId="3" fontId="5" fillId="32" borderId="85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/>
    </xf>
    <xf numFmtId="9" fontId="5" fillId="32" borderId="0" xfId="72" applyFont="1" applyFill="1" applyBorder="1" applyAlignment="1">
      <alignment/>
    </xf>
    <xf numFmtId="3" fontId="7" fillId="32" borderId="70" xfId="0" applyNumberFormat="1" applyFont="1" applyFill="1" applyBorder="1" applyAlignment="1">
      <alignment/>
    </xf>
    <xf numFmtId="3" fontId="5" fillId="32" borderId="48" xfId="0" applyNumberFormat="1" applyFont="1" applyFill="1" applyBorder="1" applyAlignment="1">
      <alignment horizontal="right"/>
    </xf>
    <xf numFmtId="3" fontId="5" fillId="32" borderId="76" xfId="0" applyNumberFormat="1" applyFont="1" applyFill="1" applyBorder="1" applyAlignment="1">
      <alignment/>
    </xf>
    <xf numFmtId="0" fontId="0" fillId="32" borderId="0" xfId="0" applyFill="1" applyAlignment="1">
      <alignment/>
    </xf>
    <xf numFmtId="166" fontId="0" fillId="32" borderId="0" xfId="40" applyNumberFormat="1" applyFill="1" applyAlignment="1">
      <alignment/>
    </xf>
    <xf numFmtId="9" fontId="0" fillId="32" borderId="0" xfId="72" applyFill="1" applyAlignment="1">
      <alignment/>
    </xf>
    <xf numFmtId="0" fontId="4" fillId="32" borderId="21" xfId="0" applyFont="1" applyFill="1" applyBorder="1" applyAlignment="1">
      <alignment/>
    </xf>
    <xf numFmtId="3" fontId="0" fillId="32" borderId="0" xfId="0" applyNumberFormat="1" applyFill="1" applyAlignment="1">
      <alignment/>
    </xf>
    <xf numFmtId="0" fontId="4" fillId="32" borderId="22" xfId="0" applyFont="1" applyFill="1" applyBorder="1" applyAlignment="1">
      <alignment/>
    </xf>
    <xf numFmtId="0" fontId="4" fillId="32" borderId="116" xfId="0" applyFont="1" applyFill="1" applyBorder="1" applyAlignment="1">
      <alignment horizontal="center"/>
    </xf>
    <xf numFmtId="3" fontId="4" fillId="32" borderId="52" xfId="0" applyNumberFormat="1" applyFont="1" applyFill="1" applyBorder="1" applyAlignment="1">
      <alignment horizontal="center" wrapText="1"/>
    </xf>
    <xf numFmtId="0" fontId="4" fillId="32" borderId="78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/>
    </xf>
    <xf numFmtId="0" fontId="4" fillId="32" borderId="23" xfId="0" applyFont="1" applyFill="1" applyBorder="1" applyAlignment="1">
      <alignment horizontal="left"/>
    </xf>
    <xf numFmtId="3" fontId="4" fillId="32" borderId="23" xfId="0" applyNumberFormat="1" applyFont="1" applyFill="1" applyBorder="1" applyAlignment="1">
      <alignment horizontal="right"/>
    </xf>
    <xf numFmtId="0" fontId="0" fillId="32" borderId="37" xfId="0" applyFill="1" applyBorder="1" applyAlignment="1">
      <alignment/>
    </xf>
    <xf numFmtId="0" fontId="4" fillId="32" borderId="35" xfId="0" applyFont="1" applyFill="1" applyBorder="1" applyAlignment="1">
      <alignment horizontal="left"/>
    </xf>
    <xf numFmtId="3" fontId="0" fillId="32" borderId="38" xfId="0" applyNumberFormat="1" applyFont="1" applyFill="1" applyBorder="1" applyAlignment="1">
      <alignment horizontal="right"/>
    </xf>
    <xf numFmtId="3" fontId="0" fillId="32" borderId="43" xfId="0" applyNumberFormat="1" applyFont="1" applyFill="1" applyBorder="1" applyAlignment="1">
      <alignment horizontal="right"/>
    </xf>
    <xf numFmtId="0" fontId="0" fillId="32" borderId="35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left"/>
    </xf>
    <xf numFmtId="0" fontId="4" fillId="32" borderId="31" xfId="0" applyFont="1" applyFill="1" applyBorder="1" applyAlignment="1">
      <alignment/>
    </xf>
    <xf numFmtId="0" fontId="4" fillId="32" borderId="58" xfId="0" applyFont="1" applyFill="1" applyBorder="1" applyAlignment="1">
      <alignment horizontal="left"/>
    </xf>
    <xf numFmtId="3" fontId="4" fillId="32" borderId="58" xfId="0" applyNumberFormat="1" applyFont="1" applyFill="1" applyBorder="1" applyAlignment="1">
      <alignment horizontal="right"/>
    </xf>
    <xf numFmtId="3" fontId="4" fillId="32" borderId="59" xfId="0" applyNumberFormat="1" applyFont="1" applyFill="1" applyBorder="1" applyAlignment="1">
      <alignment horizontal="right"/>
    </xf>
    <xf numFmtId="0" fontId="4" fillId="32" borderId="67" xfId="0" applyFont="1" applyFill="1" applyBorder="1" applyAlignment="1">
      <alignment horizontal="left"/>
    </xf>
    <xf numFmtId="0" fontId="4" fillId="32" borderId="118" xfId="0" applyFont="1" applyFill="1" applyBorder="1" applyAlignment="1">
      <alignment horizontal="left"/>
    </xf>
    <xf numFmtId="3" fontId="4" fillId="32" borderId="68" xfId="0" applyNumberFormat="1" applyFont="1" applyFill="1" applyBorder="1" applyAlignment="1">
      <alignment/>
    </xf>
    <xf numFmtId="3" fontId="4" fillId="32" borderId="69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9" fontId="0" fillId="32" borderId="0" xfId="72" applyFont="1" applyFill="1" applyAlignment="1">
      <alignment/>
    </xf>
    <xf numFmtId="0" fontId="8" fillId="32" borderId="0" xfId="0" applyFont="1" applyFill="1" applyAlignment="1">
      <alignment/>
    </xf>
    <xf numFmtId="0" fontId="4" fillId="32" borderId="36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3" fontId="4" fillId="32" borderId="56" xfId="0" applyNumberFormat="1" applyFont="1" applyFill="1" applyBorder="1" applyAlignment="1">
      <alignment horizontal="center"/>
    </xf>
    <xf numFmtId="3" fontId="4" fillId="32" borderId="57" xfId="0" applyNumberFormat="1" applyFont="1" applyFill="1" applyBorder="1" applyAlignment="1">
      <alignment horizontal="center"/>
    </xf>
    <xf numFmtId="9" fontId="4" fillId="32" borderId="57" xfId="72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3" fontId="4" fillId="32" borderId="58" xfId="0" applyNumberFormat="1" applyFont="1" applyFill="1" applyBorder="1" applyAlignment="1">
      <alignment horizontal="center"/>
    </xf>
    <xf numFmtId="3" fontId="4" fillId="32" borderId="59" xfId="0" applyNumberFormat="1" applyFont="1" applyFill="1" applyBorder="1" applyAlignment="1">
      <alignment horizontal="center"/>
    </xf>
    <xf numFmtId="9" fontId="4" fillId="32" borderId="59" xfId="72" applyFont="1" applyFill="1" applyBorder="1" applyAlignment="1">
      <alignment horizontal="center"/>
    </xf>
    <xf numFmtId="0" fontId="0" fillId="32" borderId="4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left"/>
    </xf>
    <xf numFmtId="3" fontId="0" fillId="32" borderId="32" xfId="0" applyNumberFormat="1" applyFont="1" applyFill="1" applyBorder="1" applyAlignment="1">
      <alignment horizontal="right"/>
    </xf>
    <xf numFmtId="3" fontId="0" fillId="32" borderId="42" xfId="0" applyNumberFormat="1" applyFont="1" applyFill="1" applyBorder="1" applyAlignment="1">
      <alignment horizontal="right"/>
    </xf>
    <xf numFmtId="9" fontId="0" fillId="32" borderId="42" xfId="72" applyFont="1" applyFill="1" applyBorder="1" applyAlignment="1">
      <alignment horizontal="right"/>
    </xf>
    <xf numFmtId="0" fontId="0" fillId="32" borderId="35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left"/>
    </xf>
    <xf numFmtId="0" fontId="5" fillId="32" borderId="23" xfId="0" applyFont="1" applyFill="1" applyBorder="1" applyAlignment="1">
      <alignment/>
    </xf>
    <xf numFmtId="3" fontId="0" fillId="32" borderId="37" xfId="0" applyNumberFormat="1" applyFont="1" applyFill="1" applyBorder="1" applyAlignment="1">
      <alignment horizontal="right"/>
    </xf>
    <xf numFmtId="9" fontId="0" fillId="32" borderId="37" xfId="72" applyFont="1" applyFill="1" applyBorder="1" applyAlignment="1">
      <alignment horizontal="right"/>
    </xf>
    <xf numFmtId="0" fontId="5" fillId="32" borderId="23" xfId="0" applyFont="1" applyFill="1" applyBorder="1" applyAlignment="1">
      <alignment/>
    </xf>
    <xf numFmtId="3" fontId="0" fillId="32" borderId="23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0" fontId="5" fillId="32" borderId="38" xfId="0" applyFont="1" applyFill="1" applyBorder="1" applyAlignment="1">
      <alignment/>
    </xf>
    <xf numFmtId="3" fontId="0" fillId="32" borderId="38" xfId="0" applyNumberFormat="1" applyFont="1" applyFill="1" applyBorder="1" applyAlignment="1">
      <alignment horizontal="right"/>
    </xf>
    <xf numFmtId="3" fontId="0" fillId="32" borderId="43" xfId="0" applyNumberFormat="1" applyFont="1" applyFill="1" applyBorder="1" applyAlignment="1">
      <alignment horizontal="right"/>
    </xf>
    <xf numFmtId="9" fontId="0" fillId="32" borderId="43" xfId="72" applyFont="1" applyFill="1" applyBorder="1" applyAlignment="1">
      <alignment horizontal="right"/>
    </xf>
    <xf numFmtId="0" fontId="4" fillId="32" borderId="51" xfId="0" applyFont="1" applyFill="1" applyBorder="1" applyAlignment="1">
      <alignment horizontal="center"/>
    </xf>
    <xf numFmtId="0" fontId="4" fillId="32" borderId="52" xfId="0" applyFont="1" applyFill="1" applyBorder="1" applyAlignment="1">
      <alignment/>
    </xf>
    <xf numFmtId="3" fontId="4" fillId="32" borderId="52" xfId="0" applyNumberFormat="1" applyFont="1" applyFill="1" applyBorder="1" applyAlignment="1">
      <alignment horizontal="right"/>
    </xf>
    <xf numFmtId="3" fontId="4" fillId="32" borderId="53" xfId="0" applyNumberFormat="1" applyFont="1" applyFill="1" applyBorder="1" applyAlignment="1">
      <alignment horizontal="right"/>
    </xf>
    <xf numFmtId="9" fontId="4" fillId="32" borderId="53" xfId="72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9" fontId="0" fillId="32" borderId="0" xfId="72" applyFont="1" applyFill="1" applyBorder="1" applyAlignment="1">
      <alignment/>
    </xf>
    <xf numFmtId="0" fontId="0" fillId="32" borderId="79" xfId="0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5" fillId="32" borderId="56" xfId="0" applyFont="1" applyFill="1" applyBorder="1" applyAlignment="1">
      <alignment/>
    </xf>
    <xf numFmtId="3" fontId="0" fillId="32" borderId="56" xfId="0" applyNumberFormat="1" applyFont="1" applyFill="1" applyBorder="1" applyAlignment="1">
      <alignment horizontal="right"/>
    </xf>
    <xf numFmtId="3" fontId="0" fillId="32" borderId="57" xfId="0" applyNumberFormat="1" applyFont="1" applyFill="1" applyBorder="1" applyAlignment="1">
      <alignment horizontal="right"/>
    </xf>
    <xf numFmtId="9" fontId="0" fillId="32" borderId="57" xfId="72" applyFont="1" applyFill="1" applyBorder="1" applyAlignment="1">
      <alignment horizontal="right"/>
    </xf>
    <xf numFmtId="0" fontId="0" fillId="32" borderId="44" xfId="0" applyFont="1" applyFill="1" applyBorder="1" applyAlignment="1">
      <alignment horizontal="center"/>
    </xf>
    <xf numFmtId="0" fontId="5" fillId="32" borderId="55" xfId="0" applyFont="1" applyFill="1" applyBorder="1" applyAlignment="1">
      <alignment/>
    </xf>
    <xf numFmtId="3" fontId="0" fillId="32" borderId="55" xfId="0" applyNumberFormat="1" applyFont="1" applyFill="1" applyBorder="1" applyAlignment="1">
      <alignment horizontal="right"/>
    </xf>
    <xf numFmtId="3" fontId="0" fillId="32" borderId="61" xfId="0" applyNumberFormat="1" applyFont="1" applyFill="1" applyBorder="1" applyAlignment="1">
      <alignment horizontal="right"/>
    </xf>
    <xf numFmtId="9" fontId="0" fillId="32" borderId="61" xfId="72" applyFont="1" applyFill="1" applyBorder="1" applyAlignment="1">
      <alignment horizontal="right"/>
    </xf>
    <xf numFmtId="0" fontId="4" fillId="32" borderId="11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horizontal="right"/>
    </xf>
    <xf numFmtId="3" fontId="4" fillId="32" borderId="79" xfId="0" applyNumberFormat="1" applyFont="1" applyFill="1" applyBorder="1" applyAlignment="1">
      <alignment horizontal="right"/>
    </xf>
    <xf numFmtId="9" fontId="4" fillId="32" borderId="0" xfId="72" applyFont="1" applyFill="1" applyBorder="1" applyAlignment="1">
      <alignment horizontal="right"/>
    </xf>
    <xf numFmtId="0" fontId="19" fillId="0" borderId="23" xfId="0" applyFont="1" applyBorder="1" applyAlignment="1">
      <alignment vertical="top" wrapText="1"/>
    </xf>
    <xf numFmtId="0" fontId="20" fillId="0" borderId="23" xfId="0" applyNumberFormat="1" applyFont="1" applyFill="1" applyBorder="1" applyAlignment="1">
      <alignment horizontal="center" vertical="top" wrapText="1"/>
    </xf>
    <xf numFmtId="3" fontId="21" fillId="0" borderId="23" xfId="0" applyNumberFormat="1" applyFont="1" applyFill="1" applyBorder="1" applyAlignment="1">
      <alignment horizontal="right" vertical="top" wrapText="1"/>
    </xf>
    <xf numFmtId="3" fontId="48" fillId="0" borderId="0" xfId="0" applyNumberFormat="1" applyFont="1" applyAlignment="1">
      <alignment/>
    </xf>
    <xf numFmtId="3" fontId="22" fillId="0" borderId="2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3" fontId="19" fillId="0" borderId="23" xfId="0" applyNumberFormat="1" applyFont="1" applyFill="1" applyBorder="1" applyAlignment="1">
      <alignment horizontal="right" vertical="top" wrapText="1"/>
    </xf>
    <xf numFmtId="3" fontId="19" fillId="0" borderId="23" xfId="0" applyNumberFormat="1" applyFont="1" applyFill="1" applyBorder="1" applyAlignment="1">
      <alignment vertical="top" wrapText="1"/>
    </xf>
    <xf numFmtId="3" fontId="23" fillId="0" borderId="23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0" fontId="19" fillId="0" borderId="38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3" fontId="23" fillId="0" borderId="23" xfId="0" applyNumberFormat="1" applyFont="1" applyBorder="1" applyAlignment="1">
      <alignment horizontal="right" vertical="top" wrapText="1"/>
    </xf>
    <xf numFmtId="3" fontId="23" fillId="0" borderId="23" xfId="0" applyNumberFormat="1" applyFont="1" applyFill="1" applyBorder="1" applyAlignment="1">
      <alignment vertical="top" wrapText="1"/>
    </xf>
    <xf numFmtId="3" fontId="23" fillId="0" borderId="23" xfId="0" applyNumberFormat="1" applyFont="1" applyFill="1" applyBorder="1" applyAlignment="1">
      <alignment horizontal="right" vertical="top" wrapText="1"/>
    </xf>
    <xf numFmtId="3" fontId="19" fillId="0" borderId="23" xfId="0" applyNumberFormat="1" applyFont="1" applyBorder="1" applyAlignment="1">
      <alignment horizontal="right" vertical="top" wrapText="1"/>
    </xf>
    <xf numFmtId="3" fontId="19" fillId="0" borderId="23" xfId="0" applyNumberFormat="1" applyFont="1" applyBorder="1" applyAlignment="1">
      <alignment vertical="top" wrapText="1"/>
    </xf>
    <xf numFmtId="0" fontId="19" fillId="0" borderId="97" xfId="0" applyFont="1" applyBorder="1" applyAlignment="1">
      <alignment vertical="top" wrapText="1"/>
    </xf>
    <xf numFmtId="3" fontId="19" fillId="0" borderId="97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 vertical="top" wrapText="1"/>
    </xf>
    <xf numFmtId="3" fontId="19" fillId="0" borderId="0" xfId="0" applyNumberFormat="1" applyFont="1" applyBorder="1" applyAlignment="1">
      <alignment horizontal="right" vertical="top" wrapText="1"/>
    </xf>
    <xf numFmtId="0" fontId="19" fillId="0" borderId="72" xfId="0" applyFont="1" applyBorder="1" applyAlignment="1">
      <alignment vertical="top" wrapText="1"/>
    </xf>
    <xf numFmtId="3" fontId="19" fillId="0" borderId="72" xfId="0" applyNumberFormat="1" applyFont="1" applyBorder="1" applyAlignment="1">
      <alignment horizontal="right" vertical="top" wrapText="1"/>
    </xf>
    <xf numFmtId="0" fontId="20" fillId="0" borderId="23" xfId="0" applyNumberFormat="1" applyFont="1" applyBorder="1" applyAlignment="1">
      <alignment horizontal="center" vertical="top" wrapText="1"/>
    </xf>
    <xf numFmtId="3" fontId="21" fillId="0" borderId="23" xfId="0" applyNumberFormat="1" applyFont="1" applyBorder="1" applyAlignment="1">
      <alignment horizontal="right" vertical="top" wrapText="1"/>
    </xf>
    <xf numFmtId="0" fontId="19" fillId="0" borderId="23" xfId="0" applyFont="1" applyBorder="1" applyAlignment="1">
      <alignment horizontal="left" vertical="top" wrapText="1" indent="1"/>
    </xf>
    <xf numFmtId="0" fontId="19" fillId="0" borderId="23" xfId="0" applyFont="1" applyBorder="1" applyAlignment="1">
      <alignment horizontal="left" vertical="top" wrapText="1" indent="4"/>
    </xf>
    <xf numFmtId="3" fontId="0" fillId="0" borderId="0" xfId="0" applyNumberFormat="1" applyFill="1" applyAlignment="1">
      <alignment/>
    </xf>
    <xf numFmtId="0" fontId="7" fillId="27" borderId="5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3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27" borderId="57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3" fontId="0" fillId="0" borderId="42" xfId="0" applyNumberFormat="1" applyFont="1" applyBorder="1" applyAlignment="1">
      <alignment horizontal="right"/>
    </xf>
    <xf numFmtId="9" fontId="0" fillId="0" borderId="42" xfId="72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3" fontId="0" fillId="0" borderId="37" xfId="0" applyNumberFormat="1" applyFont="1" applyFill="1" applyBorder="1" applyAlignment="1">
      <alignment horizontal="right"/>
    </xf>
    <xf numFmtId="9" fontId="0" fillId="0" borderId="37" xfId="72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38" xfId="0" applyFont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9" fontId="0" fillId="0" borderId="43" xfId="72" applyFont="1" applyFill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/>
    </xf>
    <xf numFmtId="3" fontId="4" fillId="0" borderId="53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72" applyFont="1" applyFill="1" applyBorder="1" applyAlignment="1">
      <alignment/>
    </xf>
    <xf numFmtId="0" fontId="0" fillId="0" borderId="79" xfId="0" applyFont="1" applyFill="1" applyBorder="1" applyAlignment="1">
      <alignment/>
    </xf>
    <xf numFmtId="3" fontId="4" fillId="0" borderId="3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2" fontId="0" fillId="0" borderId="16" xfId="0" applyNumberFormat="1" applyFont="1" applyBorder="1" applyAlignment="1">
      <alignment horizontal="center"/>
    </xf>
    <xf numFmtId="42" fontId="0" fillId="0" borderId="18" xfId="0" applyNumberFormat="1" applyFont="1" applyBorder="1" applyAlignment="1">
      <alignment horizontal="center"/>
    </xf>
    <xf numFmtId="3" fontId="0" fillId="0" borderId="42" xfId="0" applyNumberFormat="1" applyFont="1" applyFill="1" applyBorder="1" applyAlignment="1">
      <alignment horizontal="right"/>
    </xf>
    <xf numFmtId="42" fontId="0" fillId="0" borderId="15" xfId="0" applyNumberFormat="1" applyFont="1" applyBorder="1" applyAlignment="1">
      <alignment horizontal="center"/>
    </xf>
    <xf numFmtId="42" fontId="4" fillId="0" borderId="21" xfId="0" applyNumberFormat="1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71" xfId="0" applyFont="1" applyBorder="1" applyAlignment="1">
      <alignment horizontal="center"/>
    </xf>
    <xf numFmtId="0" fontId="4" fillId="0" borderId="70" xfId="0" applyNumberFormat="1" applyFont="1" applyBorder="1" applyAlignment="1">
      <alignment/>
    </xf>
    <xf numFmtId="0" fontId="4" fillId="0" borderId="70" xfId="0" applyFont="1" applyBorder="1" applyAlignment="1">
      <alignment/>
    </xf>
    <xf numFmtId="0" fontId="4" fillId="0" borderId="82" xfId="0" applyFont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21" xfId="0" applyNumberFormat="1" applyFont="1" applyBorder="1" applyAlignment="1">
      <alignment horizontal="center" wrapText="1"/>
    </xf>
    <xf numFmtId="0" fontId="4" fillId="27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3" fontId="0" fillId="33" borderId="0" xfId="0" applyNumberFormat="1" applyFont="1" applyFill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9" fontId="0" fillId="0" borderId="18" xfId="72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0" borderId="51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9" fontId="4" fillId="0" borderId="21" xfId="72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right"/>
    </xf>
    <xf numFmtId="9" fontId="4" fillId="0" borderId="30" xfId="72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left"/>
    </xf>
    <xf numFmtId="0" fontId="1" fillId="0" borderId="38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9" fontId="0" fillId="0" borderId="15" xfId="72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right"/>
    </xf>
    <xf numFmtId="9" fontId="0" fillId="0" borderId="23" xfId="72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0" fontId="0" fillId="0" borderId="38" xfId="0" applyNumberFormat="1" applyFont="1" applyFill="1" applyBorder="1" applyAlignment="1">
      <alignment horizontal="right"/>
    </xf>
    <xf numFmtId="9" fontId="0" fillId="0" borderId="38" xfId="72" applyNumberFormat="1" applyFont="1" applyFill="1" applyBorder="1" applyAlignment="1">
      <alignment horizontal="right"/>
    </xf>
    <xf numFmtId="0" fontId="16" fillId="0" borderId="51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3" fontId="0" fillId="0" borderId="33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0" fontId="0" fillId="0" borderId="56" xfId="0" applyNumberFormat="1" applyFont="1" applyFill="1" applyBorder="1" applyAlignment="1">
      <alignment horizontal="right"/>
    </xf>
    <xf numFmtId="9" fontId="0" fillId="0" borderId="56" xfId="72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/>
    </xf>
    <xf numFmtId="0" fontId="1" fillId="0" borderId="58" xfId="0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0" fontId="0" fillId="0" borderId="58" xfId="0" applyNumberFormat="1" applyFont="1" applyFill="1" applyBorder="1" applyAlignment="1">
      <alignment horizontal="right"/>
    </xf>
    <xf numFmtId="9" fontId="0" fillId="0" borderId="58" xfId="72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9" fontId="4" fillId="0" borderId="21" xfId="72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9" fontId="0" fillId="0" borderId="0" xfId="72" applyNumberFormat="1" applyFont="1" applyFill="1" applyBorder="1" applyAlignment="1">
      <alignment horizontal="right"/>
    </xf>
    <xf numFmtId="0" fontId="7" fillId="32" borderId="22" xfId="0" applyFont="1" applyFill="1" applyBorder="1" applyAlignment="1">
      <alignment horizontal="center"/>
    </xf>
    <xf numFmtId="0" fontId="7" fillId="32" borderId="71" xfId="0" applyFont="1" applyFill="1" applyBorder="1" applyAlignment="1">
      <alignment horizontal="center"/>
    </xf>
    <xf numFmtId="0" fontId="7" fillId="32" borderId="78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2" fontId="4" fillId="32" borderId="22" xfId="0" applyNumberFormat="1" applyFont="1" applyFill="1" applyBorder="1" applyAlignment="1">
      <alignment horizontal="center" wrapText="1"/>
    </xf>
    <xf numFmtId="2" fontId="4" fillId="32" borderId="71" xfId="0" applyNumberFormat="1" applyFont="1" applyFill="1" applyBorder="1" applyAlignment="1">
      <alignment horizontal="center" wrapText="1"/>
    </xf>
    <xf numFmtId="2" fontId="4" fillId="32" borderId="78" xfId="0" applyNumberFormat="1" applyFont="1" applyFill="1" applyBorder="1" applyAlignment="1">
      <alignment horizontal="center" wrapText="1"/>
    </xf>
    <xf numFmtId="166" fontId="20" fillId="31" borderId="119" xfId="40" applyNumberFormat="1" applyFont="1" applyFill="1" applyBorder="1" applyAlignment="1">
      <alignment horizontal="center"/>
    </xf>
    <xf numFmtId="166" fontId="20" fillId="31" borderId="120" xfId="40" applyNumberFormat="1" applyFont="1" applyFill="1" applyBorder="1" applyAlignment="1">
      <alignment horizontal="center"/>
    </xf>
    <xf numFmtId="166" fontId="20" fillId="0" borderId="22" xfId="40" applyNumberFormat="1" applyFont="1" applyFill="1" applyBorder="1" applyAlignment="1">
      <alignment horizontal="center"/>
    </xf>
    <xf numFmtId="166" fontId="20" fillId="0" borderId="71" xfId="40" applyNumberFormat="1" applyFont="1" applyFill="1" applyBorder="1" applyAlignment="1">
      <alignment horizontal="center"/>
    </xf>
    <xf numFmtId="166" fontId="20" fillId="0" borderId="78" xfId="4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0" fillId="0" borderId="8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9" xfId="0" applyFont="1" applyBorder="1" applyAlignment="1">
      <alignment/>
    </xf>
    <xf numFmtId="3" fontId="19" fillId="0" borderId="23" xfId="0" applyNumberFormat="1" applyFont="1" applyFill="1" applyBorder="1" applyAlignment="1">
      <alignment horizontal="right" vertical="top" wrapText="1"/>
    </xf>
    <xf numFmtId="3" fontId="19" fillId="0" borderId="23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EK\2012.6.sz.%20m&#243;d\MELL&#201;KLETEK\2012.&#233;vi%20ktv.rendelet%20mell&#233;kletei_&#214;nkorm&#225;nyzat_6.m&#243;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necsilla\AppData\Local\Microsoft\Windows\Temporary%20Internet%20Files\OLK7BE0\2012.&#233;vi_z&#225;rsz&#225;mad&#225;s_mell&#233;kletei_&#211;vod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necsilla\AppData\Local\Microsoft\Windows\Temporary%20Internet%20Files\OLK7BE0\2012.&#233;vi_z&#225;rsz&#225;mad&#225;s_mell&#233;kletei_Polg&#225;rmesteri_Hiv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necsilla\AppData\Local\Microsoft\Windows\Temporary%20Internet%20Files\OLK7BE0\2012.&#233;vi_z&#225;rsz&#225;mad&#225;s_mell&#233;kletei_&#193;ltal&#225;nos_isko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necsilla\AppData\Local\Microsoft\Windows\Temporary%20Internet%20Files\OLK7BE0\2012.&#233;vi_z&#225;rsz&#225;mad&#225;s_mell&#233;kletei_&#214;regisk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_p&#225;ly&#225;zat_n&#233;lk&#252;l\febr14\2012.&#233;vi%20ktv.rendelet%20mell&#233;kletei_Polg&#225;rmesteri%20Hiva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_p&#225;ly&#225;zat_n&#233;lk&#252;l\febr14\2012.&#233;vi%20ktv.rendelet%20mell&#233;kletei_&#211;vo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_p&#225;ly&#225;zat_n&#233;lk&#252;l\2012.&#233;vi%20ktv.rendelet%20mell&#233;kletei_&#193;ltal&#225;nos_Isko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_p&#225;ly&#225;zat_n&#233;lk&#252;l\2012.&#233;vi%20ktv.rendelet%20mell&#233;kletei_&#214;regisko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ESZ&#193;MOL&#211;K\2012.%20I.%20f&#233;l&#233;vi\MELL&#201;KLETEK\2012.&#233;vi%20ktv.rendelet%20mell&#233;kletei_Polg&#225;rmesteri%20Hivatal_f&#233;l&#233;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ESZ&#193;MOL&#211;K\2012.%20I.%20f&#233;l&#233;vi\MELL&#201;KLETEK\2012.&#233;vi%20ktv.rendelet%20mell&#233;kletei_&#211;voda_f&#233;l&#233;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ESZ&#193;MOL&#211;K\2012.%20I.%20f&#233;l&#233;vi\MELL&#201;KLETEK\2012.&#233;vi%20ktv.rendelet%20mell&#233;kletei_&#193;ltal&#225;nos_Iskola_f&#233;l&#233;v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_p&#225;ly&#225;zat_n&#233;lk&#252;l\PolgHiv_k&#246;lts&#233;gvet&#233;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címrend"/>
      <sheetName val="1A. melléklet_BEVÉTEL_KIADÁS"/>
      <sheetName val="2.sz.m.Bevételek"/>
      <sheetName val="2.2.sz.mfelh.bev.részl"/>
      <sheetName val="3.2.sz.mfelh.bev.részl ÁFA külö"/>
      <sheetName val="3.Állami támogatás"/>
      <sheetName val="4.sz.m.Kiadások"/>
      <sheetName val="4.2.sz.m.felh.kiadás"/>
      <sheetName val="8.sz.Műk.c.átadott.pe. "/>
    </sheetNames>
    <sheetDataSet>
      <sheetData sheetId="1">
        <row r="5">
          <cell r="Q5">
            <v>-23050</v>
          </cell>
        </row>
        <row r="6">
          <cell r="Q6">
            <v>23292</v>
          </cell>
        </row>
        <row r="7">
          <cell r="Q7">
            <v>-139406</v>
          </cell>
        </row>
        <row r="8">
          <cell r="Q8">
            <v>21608</v>
          </cell>
        </row>
        <row r="9">
          <cell r="Q9">
            <v>18092</v>
          </cell>
        </row>
        <row r="10">
          <cell r="Q10">
            <v>-2442</v>
          </cell>
        </row>
        <row r="12">
          <cell r="Q12">
            <v>-1258</v>
          </cell>
        </row>
        <row r="14">
          <cell r="Q14">
            <v>7216</v>
          </cell>
        </row>
        <row r="15">
          <cell r="Q15">
            <v>-39484</v>
          </cell>
        </row>
        <row r="18">
          <cell r="Q18">
            <v>-10000</v>
          </cell>
        </row>
        <row r="24">
          <cell r="Q24">
            <v>-920</v>
          </cell>
        </row>
        <row r="25">
          <cell r="Q25">
            <v>0</v>
          </cell>
        </row>
        <row r="26">
          <cell r="Q26">
            <v>-10761</v>
          </cell>
        </row>
        <row r="27">
          <cell r="Q27">
            <v>-5001</v>
          </cell>
        </row>
        <row r="30">
          <cell r="D30">
            <v>637684</v>
          </cell>
          <cell r="E30">
            <v>-18458</v>
          </cell>
          <cell r="F30">
            <v>619226</v>
          </cell>
          <cell r="Q30">
            <v>-45398</v>
          </cell>
        </row>
        <row r="33">
          <cell r="Q33">
            <v>2728</v>
          </cell>
        </row>
        <row r="34">
          <cell r="Q34">
            <v>6076</v>
          </cell>
        </row>
        <row r="36">
          <cell r="Q36">
            <v>-111664</v>
          </cell>
        </row>
        <row r="37">
          <cell r="Q37">
            <v>-2100</v>
          </cell>
        </row>
      </sheetData>
      <sheetData sheetId="2">
        <row r="6">
          <cell r="G6">
            <v>64893.12</v>
          </cell>
          <cell r="K6">
            <v>64893.12</v>
          </cell>
          <cell r="L6">
            <v>15017</v>
          </cell>
        </row>
        <row r="12">
          <cell r="G12">
            <v>312580</v>
          </cell>
          <cell r="H12">
            <v>10000</v>
          </cell>
          <cell r="J12">
            <v>0</v>
          </cell>
          <cell r="K12">
            <v>322580</v>
          </cell>
          <cell r="L12">
            <v>270673</v>
          </cell>
        </row>
        <row r="19">
          <cell r="G19">
            <v>171140</v>
          </cell>
          <cell r="K19">
            <v>171140</v>
          </cell>
          <cell r="L19">
            <v>89506</v>
          </cell>
        </row>
        <row r="21">
          <cell r="G21">
            <v>66000</v>
          </cell>
          <cell r="K21">
            <v>66000</v>
          </cell>
          <cell r="L21">
            <v>32426</v>
          </cell>
        </row>
        <row r="22">
          <cell r="G22">
            <v>19450</v>
          </cell>
          <cell r="K22">
            <v>19450</v>
          </cell>
          <cell r="L22">
            <v>1559</v>
          </cell>
        </row>
        <row r="30">
          <cell r="G30">
            <v>192391</v>
          </cell>
          <cell r="J30">
            <v>60349</v>
          </cell>
          <cell r="K30">
            <v>255787</v>
          </cell>
          <cell r="L30">
            <v>163018</v>
          </cell>
        </row>
        <row r="37">
          <cell r="G37">
            <v>14480</v>
          </cell>
          <cell r="J37">
            <v>0</v>
          </cell>
          <cell r="K37">
            <v>14480</v>
          </cell>
          <cell r="L37">
            <v>11061</v>
          </cell>
        </row>
        <row r="46">
          <cell r="G46">
            <v>10000</v>
          </cell>
          <cell r="K46">
            <v>10000</v>
          </cell>
        </row>
        <row r="47">
          <cell r="K47">
            <v>11695</v>
          </cell>
          <cell r="L47">
            <v>9801</v>
          </cell>
        </row>
        <row r="50">
          <cell r="G50">
            <v>149937</v>
          </cell>
          <cell r="K50">
            <v>149937</v>
          </cell>
          <cell r="L50">
            <v>575</v>
          </cell>
        </row>
        <row r="51">
          <cell r="G51">
            <v>60341</v>
          </cell>
          <cell r="K51">
            <v>60341</v>
          </cell>
          <cell r="L51">
            <v>28611</v>
          </cell>
        </row>
        <row r="52">
          <cell r="G52">
            <v>126654</v>
          </cell>
          <cell r="J52">
            <v>0</v>
          </cell>
          <cell r="K52">
            <v>126654</v>
          </cell>
          <cell r="L52">
            <v>93142</v>
          </cell>
        </row>
        <row r="59">
          <cell r="K59">
            <v>3094</v>
          </cell>
          <cell r="L59">
            <v>3094</v>
          </cell>
        </row>
      </sheetData>
      <sheetData sheetId="6">
        <row r="5">
          <cell r="C5">
            <v>12560</v>
          </cell>
          <cell r="D5">
            <v>0</v>
          </cell>
          <cell r="E5">
            <v>12560</v>
          </cell>
          <cell r="F5">
            <v>270</v>
          </cell>
          <cell r="G5">
            <v>12830</v>
          </cell>
          <cell r="H5">
            <v>5006</v>
          </cell>
        </row>
        <row r="9">
          <cell r="C9">
            <v>3476.6962143709097</v>
          </cell>
          <cell r="E9">
            <v>3476.6962143709097</v>
          </cell>
          <cell r="F9">
            <v>73</v>
          </cell>
          <cell r="G9">
            <v>3549.6962143709097</v>
          </cell>
          <cell r="H9">
            <v>1311</v>
          </cell>
        </row>
        <row r="10">
          <cell r="C10">
            <v>99483.02973000729</v>
          </cell>
          <cell r="D10">
            <v>55026</v>
          </cell>
          <cell r="E10">
            <v>154509.02973000729</v>
          </cell>
          <cell r="G10">
            <v>154509.02973000729</v>
          </cell>
          <cell r="H10">
            <v>90011</v>
          </cell>
        </row>
        <row r="17">
          <cell r="C17">
            <v>9786</v>
          </cell>
          <cell r="D17">
            <v>1735</v>
          </cell>
          <cell r="E17">
            <v>11521</v>
          </cell>
          <cell r="G17">
            <v>11521</v>
          </cell>
          <cell r="H17">
            <v>4361</v>
          </cell>
        </row>
        <row r="19">
          <cell r="F19">
            <v>8753</v>
          </cell>
          <cell r="G19">
            <v>627979</v>
          </cell>
          <cell r="H19">
            <v>259295</v>
          </cell>
        </row>
        <row r="21">
          <cell r="C21">
            <v>21828</v>
          </cell>
          <cell r="D21">
            <v>1754</v>
          </cell>
          <cell r="E21">
            <v>23582</v>
          </cell>
          <cell r="F21">
            <v>50669</v>
          </cell>
          <cell r="G21">
            <v>74251</v>
          </cell>
          <cell r="H21">
            <v>8427</v>
          </cell>
        </row>
        <row r="22">
          <cell r="C22">
            <v>4500</v>
          </cell>
          <cell r="D22">
            <v>-1913</v>
          </cell>
          <cell r="E22">
            <v>2587</v>
          </cell>
          <cell r="F22">
            <v>584</v>
          </cell>
          <cell r="G22">
            <v>3171</v>
          </cell>
        </row>
        <row r="23">
          <cell r="C23">
            <v>32410</v>
          </cell>
          <cell r="D23">
            <v>-17632</v>
          </cell>
          <cell r="E23">
            <v>14778</v>
          </cell>
          <cell r="G23">
            <v>14778</v>
          </cell>
        </row>
        <row r="27">
          <cell r="C27">
            <v>113360.2</v>
          </cell>
          <cell r="D27">
            <v>2824</v>
          </cell>
          <cell r="E27">
            <v>116184.2</v>
          </cell>
          <cell r="G27">
            <v>116184.2</v>
          </cell>
          <cell r="H27">
            <v>13917</v>
          </cell>
        </row>
        <row r="28">
          <cell r="C28">
            <v>92219.78</v>
          </cell>
          <cell r="D28">
            <v>2500</v>
          </cell>
          <cell r="E28">
            <v>94719.78</v>
          </cell>
          <cell r="G28">
            <v>94719.78</v>
          </cell>
          <cell r="H28">
            <v>7294</v>
          </cell>
        </row>
        <row r="29">
          <cell r="D29">
            <v>2000</v>
          </cell>
          <cell r="E29">
            <v>2000</v>
          </cell>
          <cell r="G29">
            <v>2000</v>
          </cell>
        </row>
        <row r="39">
          <cell r="C39">
            <v>108601</v>
          </cell>
          <cell r="D39">
            <v>0</v>
          </cell>
          <cell r="E39">
            <v>108601</v>
          </cell>
          <cell r="F39">
            <v>0</v>
          </cell>
          <cell r="G39">
            <v>108601</v>
          </cell>
          <cell r="H39">
            <v>0</v>
          </cell>
        </row>
        <row r="40">
          <cell r="C40">
            <v>51957</v>
          </cell>
          <cell r="E40">
            <v>51957</v>
          </cell>
          <cell r="G40">
            <v>51957</v>
          </cell>
          <cell r="H40">
            <v>24463</v>
          </cell>
        </row>
        <row r="41">
          <cell r="H41">
            <v>1285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3.Állami támogatás"/>
      <sheetName val="4.sz.m.Kiadások"/>
      <sheetName val="7.sz.Pénzmaradvány elsz."/>
      <sheetName val="8.sz.Pénzmaradvány felosztása"/>
      <sheetName val="9.sz.Mérleg"/>
      <sheetName val="10.sz.Pénzforgalom"/>
      <sheetName val="11.sz Vagyonkimutatás"/>
    </sheetNames>
    <sheetDataSet>
      <sheetData sheetId="0">
        <row r="7">
          <cell r="R7">
            <v>29121</v>
          </cell>
        </row>
        <row r="10">
          <cell r="R10">
            <v>158059</v>
          </cell>
        </row>
        <row r="11">
          <cell r="R11">
            <v>68055</v>
          </cell>
        </row>
        <row r="13">
          <cell r="R13">
            <v>90004</v>
          </cell>
        </row>
        <row r="25">
          <cell r="R25">
            <v>91039</v>
          </cell>
        </row>
        <row r="26">
          <cell r="R26">
            <v>23603</v>
          </cell>
        </row>
        <row r="27">
          <cell r="R27">
            <v>63336</v>
          </cell>
        </row>
        <row r="28">
          <cell r="R28">
            <v>5590</v>
          </cell>
        </row>
        <row r="38">
          <cell r="R38">
            <v>3479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3.Állami támogatás"/>
      <sheetName val="4.sz.m.Kiadások"/>
      <sheetName val="4.2.sz.m.felh.kiadás"/>
      <sheetName val="7.sz.Pénzmaradvány elsz."/>
      <sheetName val="8.sz.Pénzmaradvány felosztása"/>
      <sheetName val="9.sz.Mérleg"/>
      <sheetName val="10.sz.Pénzforgalom"/>
      <sheetName val="11.sz Vagyonkimutatás"/>
    </sheetNames>
    <sheetDataSet>
      <sheetData sheetId="0">
        <row r="5">
          <cell r="S5">
            <v>14002</v>
          </cell>
        </row>
        <row r="6">
          <cell r="S6">
            <v>8450</v>
          </cell>
        </row>
        <row r="7">
          <cell r="S7">
            <v>100</v>
          </cell>
        </row>
        <row r="8">
          <cell r="S8">
            <v>199095</v>
          </cell>
        </row>
        <row r="9">
          <cell r="S9">
            <v>194060</v>
          </cell>
        </row>
        <row r="11">
          <cell r="S11">
            <v>4959</v>
          </cell>
        </row>
        <row r="12">
          <cell r="S12">
            <v>76</v>
          </cell>
        </row>
        <row r="21">
          <cell r="S21">
            <v>28</v>
          </cell>
        </row>
        <row r="24">
          <cell r="S24">
            <v>100887</v>
          </cell>
        </row>
        <row r="25">
          <cell r="S25">
            <v>25922</v>
          </cell>
        </row>
        <row r="26">
          <cell r="S26">
            <v>65397</v>
          </cell>
        </row>
        <row r="27">
          <cell r="S27">
            <v>13911</v>
          </cell>
        </row>
        <row r="28">
          <cell r="S28">
            <v>0</v>
          </cell>
        </row>
        <row r="34">
          <cell r="S34">
            <v>2789</v>
          </cell>
        </row>
        <row r="35">
          <cell r="S35">
            <v>0</v>
          </cell>
        </row>
        <row r="37">
          <cell r="S37">
            <v>9832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3.Állami támogatás"/>
      <sheetName val="4.sz.m.Kiadások"/>
      <sheetName val="4.2.sz.m.felh.kiadás"/>
      <sheetName val="7.sz.Pénzmaradvány elsz."/>
      <sheetName val="8.sz.Pénzmaradvány felosztása"/>
      <sheetName val="9.sz.Mérleg"/>
      <sheetName val="10.sz.Pénzforgalom"/>
      <sheetName val="11.sz Vagyonkimutatás"/>
    </sheetNames>
    <sheetDataSet>
      <sheetData sheetId="0">
        <row r="7">
          <cell r="R7">
            <v>24928</v>
          </cell>
        </row>
        <row r="10">
          <cell r="R10">
            <v>168553</v>
          </cell>
        </row>
        <row r="13">
          <cell r="R13">
            <v>168553</v>
          </cell>
        </row>
        <row r="23">
          <cell r="R23">
            <v>4</v>
          </cell>
        </row>
        <row r="26">
          <cell r="R26">
            <v>98011</v>
          </cell>
        </row>
        <row r="27">
          <cell r="R27">
            <v>25546</v>
          </cell>
        </row>
        <row r="28">
          <cell r="R28">
            <v>62138</v>
          </cell>
        </row>
        <row r="29">
          <cell r="R29">
            <v>6698</v>
          </cell>
        </row>
        <row r="30">
          <cell r="R30">
            <v>0</v>
          </cell>
        </row>
        <row r="36">
          <cell r="R36">
            <v>136</v>
          </cell>
        </row>
        <row r="39">
          <cell r="R39">
            <v>885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4.sz.m.Kiadások"/>
      <sheetName val="7.sz.Pénzmaradvány elsz."/>
      <sheetName val="8.sz.Pénzmaradvány felosztása"/>
      <sheetName val="9.sz.Mérleg"/>
      <sheetName val="10.sz.Pénzforgalom"/>
      <sheetName val="11.sz Vagyonkimutatás"/>
    </sheetNames>
    <sheetDataSet>
      <sheetData sheetId="0">
        <row r="6">
          <cell r="R6">
            <v>2232</v>
          </cell>
        </row>
        <row r="9">
          <cell r="R9">
            <v>25773</v>
          </cell>
        </row>
        <row r="10">
          <cell r="R10">
            <v>0</v>
          </cell>
        </row>
        <row r="12">
          <cell r="R12">
            <v>25773</v>
          </cell>
        </row>
        <row r="24">
          <cell r="R24">
            <v>10959</v>
          </cell>
        </row>
        <row r="25">
          <cell r="R25">
            <v>2870</v>
          </cell>
        </row>
        <row r="26">
          <cell r="R26">
            <v>11963</v>
          </cell>
        </row>
        <row r="27">
          <cell r="R27">
            <v>0</v>
          </cell>
        </row>
        <row r="28">
          <cell r="R28">
            <v>0</v>
          </cell>
        </row>
        <row r="34">
          <cell r="R34">
            <v>1454</v>
          </cell>
        </row>
        <row r="37">
          <cell r="R37">
            <v>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3.Állami támogatás"/>
      <sheetName val="4.sz.m.Kiadások"/>
      <sheetName val="5.sz.m.szakfeladatonként "/>
      <sheetName val="6.sz.m.létszám-előir. "/>
      <sheetName val="7.sz.m.ütemterv"/>
    </sheetNames>
    <sheetDataSet>
      <sheetData sheetId="1">
        <row r="6">
          <cell r="G6">
            <v>17699.227288000002</v>
          </cell>
        </row>
        <row r="22">
          <cell r="G22">
            <v>10196.1784</v>
          </cell>
        </row>
        <row r="39">
          <cell r="G39">
            <v>208335</v>
          </cell>
        </row>
        <row r="40">
          <cell r="G40">
            <v>47290.23055364002</v>
          </cell>
        </row>
      </sheetData>
      <sheetData sheetId="4">
        <row r="5">
          <cell r="D5">
            <v>105092.04000000001</v>
          </cell>
        </row>
        <row r="9">
          <cell r="D9">
            <v>28498.212797319997</v>
          </cell>
        </row>
        <row r="10">
          <cell r="D10">
            <v>144160.38344432</v>
          </cell>
        </row>
        <row r="17">
          <cell r="D17">
            <v>4770</v>
          </cell>
        </row>
        <row r="22">
          <cell r="D22">
            <v>1000</v>
          </cell>
        </row>
        <row r="23">
          <cell r="D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Állami támogatás"/>
      <sheetName val="3.2.sz.mfelh.bev.részl ÁFA külö"/>
      <sheetName val="4.sz.m.Kiadások"/>
      <sheetName val="5.sz.m.szakfeladatonként "/>
      <sheetName val="6.sz.m.létszám-előir. "/>
      <sheetName val="7.sz.m.ütemterv"/>
    </sheetNames>
    <sheetDataSet>
      <sheetData sheetId="1">
        <row r="6">
          <cell r="G6">
            <v>27144.98</v>
          </cell>
        </row>
      </sheetData>
      <sheetData sheetId="4">
        <row r="5">
          <cell r="D5">
            <v>99088</v>
          </cell>
        </row>
        <row r="9">
          <cell r="D9">
            <v>25617.108999999993</v>
          </cell>
        </row>
        <row r="10">
          <cell r="D10">
            <v>78840.7892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Állami támogatás"/>
      <sheetName val="3.2.sz.mfelh.bev.részl ÁFA külö"/>
      <sheetName val="4.sz.m.Kiadások"/>
      <sheetName val="5.sz.m.szakfeladatonként "/>
      <sheetName val="6.sz.m.létszám-előir. "/>
      <sheetName val="7.sz.m.ütemterv"/>
    </sheetNames>
    <sheetDataSet>
      <sheetData sheetId="1">
        <row r="6">
          <cell r="G6">
            <v>24815.8</v>
          </cell>
        </row>
      </sheetData>
      <sheetData sheetId="4">
        <row r="5">
          <cell r="D5">
            <v>102756</v>
          </cell>
        </row>
        <row r="9">
          <cell r="D9">
            <v>27022.278</v>
          </cell>
        </row>
        <row r="10">
          <cell r="D10">
            <v>71979.7804</v>
          </cell>
        </row>
        <row r="17">
          <cell r="D17">
            <v>2700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Állami támogatás"/>
      <sheetName val="3.2.sz.mfelh.bev.részl ÁFA külö"/>
      <sheetName val="4.sz.m.Kiadások"/>
      <sheetName val="5.sz.m.szakfeladatonként "/>
      <sheetName val="6.sz.m.létszám-előir. "/>
      <sheetName val="7.sz.m.ütemterv"/>
    </sheetNames>
    <sheetDataSet>
      <sheetData sheetId="1">
        <row r="6">
          <cell r="G6">
            <v>1906</v>
          </cell>
        </row>
        <row r="40">
          <cell r="G40">
            <v>26016</v>
          </cell>
        </row>
        <row r="41">
          <cell r="G41">
            <v>0</v>
          </cell>
        </row>
      </sheetData>
      <sheetData sheetId="4">
        <row r="5">
          <cell r="D5">
            <v>11385.954</v>
          </cell>
        </row>
        <row r="9">
          <cell r="D9">
            <v>3028.7908799999996</v>
          </cell>
        </row>
        <row r="10">
          <cell r="D10">
            <v>13507.2592</v>
          </cell>
        </row>
        <row r="17">
          <cell r="D1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4.sz.m.Kiadások"/>
      <sheetName val="4.2.sz.m.felh.kiadás"/>
    </sheetNames>
    <sheetDataSet>
      <sheetData sheetId="0">
        <row r="5">
          <cell r="I5">
            <v>6324</v>
          </cell>
        </row>
        <row r="6">
          <cell r="I6">
            <v>4725</v>
          </cell>
        </row>
        <row r="8">
          <cell r="I8">
            <v>93176</v>
          </cell>
        </row>
        <row r="9">
          <cell r="I9">
            <v>93100</v>
          </cell>
        </row>
        <row r="11">
          <cell r="G11">
            <v>3461</v>
          </cell>
          <cell r="K11">
            <v>-5895</v>
          </cell>
        </row>
        <row r="12">
          <cell r="I12">
            <v>76</v>
          </cell>
        </row>
        <row r="21">
          <cell r="I21">
            <v>69</v>
          </cell>
        </row>
        <row r="24">
          <cell r="G24">
            <v>649</v>
          </cell>
          <cell r="I24">
            <v>49376</v>
          </cell>
          <cell r="K24">
            <v>0</v>
          </cell>
        </row>
        <row r="25">
          <cell r="G25">
            <v>175</v>
          </cell>
          <cell r="I25">
            <v>12857</v>
          </cell>
          <cell r="K25">
            <v>0</v>
          </cell>
        </row>
        <row r="26">
          <cell r="G26">
            <v>0</v>
          </cell>
          <cell r="I26">
            <v>28409</v>
          </cell>
        </row>
        <row r="27">
          <cell r="G27">
            <v>2637</v>
          </cell>
          <cell r="I27">
            <v>6181</v>
          </cell>
        </row>
        <row r="28">
          <cell r="I28">
            <v>0</v>
          </cell>
        </row>
        <row r="33">
          <cell r="I33">
            <v>0</v>
          </cell>
        </row>
        <row r="34">
          <cell r="I34">
            <v>59</v>
          </cell>
        </row>
        <row r="35">
          <cell r="I35">
            <v>0</v>
          </cell>
        </row>
        <row r="37">
          <cell r="I37">
            <v>3913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4.sz.m.Kiadások"/>
    </sheetNames>
    <sheetDataSet>
      <sheetData sheetId="0">
        <row r="7">
          <cell r="H7">
            <v>13739</v>
          </cell>
        </row>
        <row r="10">
          <cell r="F10">
            <v>2360</v>
          </cell>
          <cell r="H10">
            <v>74754</v>
          </cell>
        </row>
        <row r="11">
          <cell r="H11">
            <v>35166</v>
          </cell>
        </row>
        <row r="13">
          <cell r="F13">
            <v>2428</v>
          </cell>
          <cell r="H13">
            <v>39588</v>
          </cell>
        </row>
        <row r="25">
          <cell r="F25">
            <v>1914</v>
          </cell>
          <cell r="H25">
            <v>46129</v>
          </cell>
        </row>
        <row r="26">
          <cell r="F26">
            <v>514</v>
          </cell>
          <cell r="H26">
            <v>12159</v>
          </cell>
        </row>
        <row r="27">
          <cell r="F27">
            <v>-68</v>
          </cell>
          <cell r="H27">
            <v>27817</v>
          </cell>
        </row>
        <row r="28">
          <cell r="F28">
            <v>0</v>
          </cell>
          <cell r="H28">
            <v>0</v>
          </cell>
        </row>
        <row r="38">
          <cell r="H38">
            <v>2041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_BEVÉTEL_KIADÁS"/>
      <sheetName val="2.sz.m.Bevételek"/>
      <sheetName val="3.2.sz.mfelh.bev.részl ÁFA külö"/>
      <sheetName val="4.sz.m.Kiadások"/>
      <sheetName val="4.2.sz.m.felh.kiadás"/>
    </sheetNames>
    <sheetDataSet>
      <sheetData sheetId="0">
        <row r="12">
          <cell r="F12">
            <v>2485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100-3700001"/>
      <sheetName val="3.sz. mell.100-4211001"/>
      <sheetName val="3.sz. mell.100-3811031"/>
      <sheetName val="3.sz. mell.100-4221001"/>
      <sheetName val="3.sz. mell.100-5221101"/>
      <sheetName val="3.sz. mell.100-6820011"/>
      <sheetName val="3.sz. mell.100-6820021"/>
      <sheetName val="3.sz. mell.100-8411261"/>
      <sheetName val="3.sz. mell.100-8412251"/>
      <sheetName val="3.sz. mell.100-8411275"/>
      <sheetName val="3.sz. mell.100-8414021"/>
      <sheetName val="3.sz. mell.100-8414031"/>
      <sheetName val="3.sz. mell.100-8424211"/>
      <sheetName val="3.sz. mell.100-8411541"/>
      <sheetName val="3.sz. mell.100-8411121"/>
      <sheetName val="3.sz. mell.100-8690411"/>
      <sheetName val="3.sz. mell.100-8690425"/>
      <sheetName val="3.sz. mell.100-8821225"/>
      <sheetName val="3.sz. mell.100-8892011"/>
      <sheetName val="3.sz. mell.100-8899221"/>
      <sheetName val="3.sz. mell.100-8899231"/>
      <sheetName val="3.sz. mell.100-8899241"/>
      <sheetName val="3.sz. mell.100-pe-átadás"/>
      <sheetName val="3.sz. mell.100-8904411"/>
      <sheetName val="3.sz. mell.100-9312065"/>
      <sheetName val="3.sz. mell.100-8891011"/>
      <sheetName val="3.sz. mell.100-9603021"/>
      <sheetName val="3.sz. mell.100-882szociális-ÖNK"/>
      <sheetName val="3.sz. mell.100-8419019"/>
      <sheetName val="3.sz. mell.100-882szociális-PH"/>
    </sheetNames>
    <sheetDataSet>
      <sheetData sheetId="1">
        <row r="30">
          <cell r="AK30">
            <v>1270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4"/>
  <sheetViews>
    <sheetView zoomScale="90" zoomScaleNormal="90" zoomScaleSheetLayoutView="75" zoomScalePageLayoutView="0" workbookViewId="0" topLeftCell="A1">
      <pane xSplit="2" ySplit="3" topLeftCell="C9" activePane="bottomRight" state="frozen"/>
      <selection pane="topLeft" activeCell="S44" sqref="S44"/>
      <selection pane="topRight" activeCell="S44" sqref="S44"/>
      <selection pane="bottomLeft" activeCell="S44" sqref="S44"/>
      <selection pane="bottomRight" activeCell="Q42" sqref="Q42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5.00390625" style="0" customWidth="1"/>
    <col min="4" max="8" width="15.00390625" style="0" hidden="1" customWidth="1"/>
    <col min="9" max="9" width="15.00390625" style="355" hidden="1" customWidth="1"/>
    <col min="10" max="16" width="15.00390625" style="0" hidden="1" customWidth="1"/>
    <col min="17" max="18" width="15.00390625" style="0" customWidth="1"/>
    <col min="19" max="19" width="20.00390625" style="0" bestFit="1" customWidth="1"/>
    <col min="20" max="32" width="15.00390625" style="0" hidden="1" customWidth="1"/>
    <col min="33" max="34" width="15.00390625" style="0" customWidth="1"/>
    <col min="35" max="35" width="14.57421875" style="0" bestFit="1" customWidth="1"/>
    <col min="36" max="44" width="15.00390625" style="0" hidden="1" customWidth="1"/>
    <col min="45" max="45" width="18.421875" style="0" hidden="1" customWidth="1"/>
    <col min="46" max="46" width="15.00390625" style="0" hidden="1" customWidth="1"/>
    <col min="47" max="47" width="18.421875" style="0" hidden="1" customWidth="1"/>
    <col min="48" max="48" width="15.00390625" style="0" hidden="1" customWidth="1"/>
    <col min="49" max="49" width="18.421875" style="0" customWidth="1"/>
    <col min="50" max="50" width="15.00390625" style="0" customWidth="1"/>
    <col min="51" max="51" width="15.00390625" style="0" bestFit="1" customWidth="1"/>
    <col min="52" max="64" width="15.00390625" style="0" hidden="1" customWidth="1"/>
    <col min="65" max="66" width="15.00390625" style="0" customWidth="1"/>
    <col min="67" max="67" width="15.00390625" style="0" bestFit="1" customWidth="1"/>
    <col min="68" max="80" width="15.00390625" style="0" hidden="1" customWidth="1"/>
    <col min="81" max="82" width="15.00390625" style="0" customWidth="1"/>
    <col min="83" max="83" width="15.00390625" style="0" bestFit="1" customWidth="1"/>
    <col min="84" max="96" width="15.00390625" style="0" hidden="1" customWidth="1"/>
    <col min="97" max="97" width="15.00390625" style="0" bestFit="1" customWidth="1"/>
    <col min="98" max="98" width="15.00390625" style="0" customWidth="1"/>
  </cols>
  <sheetData>
    <row r="1" spans="1:98" ht="13.5" thickBot="1">
      <c r="A1" s="590"/>
      <c r="B1" s="591"/>
      <c r="C1" s="871" t="s">
        <v>92</v>
      </c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3"/>
      <c r="S1" s="871" t="s">
        <v>430</v>
      </c>
      <c r="T1" s="872"/>
      <c r="U1" s="872"/>
      <c r="V1" s="872"/>
      <c r="W1" s="872"/>
      <c r="X1" s="872"/>
      <c r="Y1" s="872"/>
      <c r="Z1" s="872"/>
      <c r="AA1" s="872"/>
      <c r="AB1" s="872"/>
      <c r="AC1" s="873"/>
      <c r="AD1" s="592"/>
      <c r="AE1" s="592"/>
      <c r="AF1" s="592"/>
      <c r="AG1" s="592"/>
      <c r="AH1" s="592"/>
      <c r="AI1" s="871" t="s">
        <v>100</v>
      </c>
      <c r="AJ1" s="872"/>
      <c r="AK1" s="872"/>
      <c r="AL1" s="872"/>
      <c r="AM1" s="872"/>
      <c r="AN1" s="872"/>
      <c r="AO1" s="872"/>
      <c r="AP1" s="872"/>
      <c r="AQ1" s="872"/>
      <c r="AR1" s="872"/>
      <c r="AS1" s="873"/>
      <c r="AT1" s="592"/>
      <c r="AU1" s="592"/>
      <c r="AV1" s="592"/>
      <c r="AW1" s="592"/>
      <c r="AX1" s="592"/>
      <c r="AY1" s="871" t="s">
        <v>90</v>
      </c>
      <c r="AZ1" s="872"/>
      <c r="BA1" s="872"/>
      <c r="BB1" s="872"/>
      <c r="BC1" s="872"/>
      <c r="BD1" s="872"/>
      <c r="BE1" s="872"/>
      <c r="BF1" s="872"/>
      <c r="BG1" s="872"/>
      <c r="BH1" s="872"/>
      <c r="BI1" s="873"/>
      <c r="BJ1" s="592"/>
      <c r="BK1" s="592"/>
      <c r="BL1" s="592"/>
      <c r="BM1" s="592"/>
      <c r="BN1" s="592"/>
      <c r="BO1" s="871" t="s">
        <v>91</v>
      </c>
      <c r="BP1" s="872"/>
      <c r="BQ1" s="872"/>
      <c r="BR1" s="872"/>
      <c r="BS1" s="872"/>
      <c r="BT1" s="872"/>
      <c r="BU1" s="872"/>
      <c r="BV1" s="872"/>
      <c r="BW1" s="872"/>
      <c r="BX1" s="872"/>
      <c r="BY1" s="873"/>
      <c r="BZ1" s="592"/>
      <c r="CA1" s="592"/>
      <c r="CB1" s="592"/>
      <c r="CC1" s="592"/>
      <c r="CD1" s="592"/>
      <c r="CE1" s="871" t="s">
        <v>199</v>
      </c>
      <c r="CF1" s="872"/>
      <c r="CG1" s="872"/>
      <c r="CH1" s="872"/>
      <c r="CI1" s="872"/>
      <c r="CJ1" s="872"/>
      <c r="CK1" s="872"/>
      <c r="CL1" s="872"/>
      <c r="CM1" s="872"/>
      <c r="CN1" s="872"/>
      <c r="CO1" s="873"/>
      <c r="CP1" s="593"/>
      <c r="CQ1" s="593"/>
      <c r="CR1" s="593"/>
      <c r="CS1" s="594"/>
      <c r="CT1" s="592"/>
    </row>
    <row r="2" spans="1:98" ht="12.75">
      <c r="A2" s="595"/>
      <c r="B2" s="596"/>
      <c r="C2" s="597" t="s">
        <v>200</v>
      </c>
      <c r="D2" s="597" t="s">
        <v>201</v>
      </c>
      <c r="E2" s="598" t="s">
        <v>202</v>
      </c>
      <c r="F2" s="599" t="s">
        <v>203</v>
      </c>
      <c r="G2" s="599" t="s">
        <v>204</v>
      </c>
      <c r="H2" s="599" t="s">
        <v>144</v>
      </c>
      <c r="I2" s="600" t="s">
        <v>157</v>
      </c>
      <c r="J2" s="597" t="s">
        <v>205</v>
      </c>
      <c r="K2" s="598" t="s">
        <v>206</v>
      </c>
      <c r="L2" s="597" t="s">
        <v>207</v>
      </c>
      <c r="M2" s="597" t="s">
        <v>208</v>
      </c>
      <c r="N2" s="597" t="s">
        <v>209</v>
      </c>
      <c r="O2" s="597" t="s">
        <v>210</v>
      </c>
      <c r="P2" s="597" t="s">
        <v>211</v>
      </c>
      <c r="Q2" s="597" t="s">
        <v>143</v>
      </c>
      <c r="R2" s="597" t="s">
        <v>144</v>
      </c>
      <c r="S2" s="597" t="s">
        <v>200</v>
      </c>
      <c r="T2" s="597" t="s">
        <v>201</v>
      </c>
      <c r="U2" s="597" t="s">
        <v>202</v>
      </c>
      <c r="V2" s="597" t="s">
        <v>203</v>
      </c>
      <c r="W2" s="597" t="s">
        <v>204</v>
      </c>
      <c r="X2" s="597" t="s">
        <v>144</v>
      </c>
      <c r="Y2" s="601" t="s">
        <v>157</v>
      </c>
      <c r="Z2" s="597" t="s">
        <v>205</v>
      </c>
      <c r="AA2" s="597" t="s">
        <v>206</v>
      </c>
      <c r="AB2" s="597" t="s">
        <v>207</v>
      </c>
      <c r="AC2" s="597" t="s">
        <v>208</v>
      </c>
      <c r="AD2" s="597" t="s">
        <v>209</v>
      </c>
      <c r="AE2" s="597" t="s">
        <v>210</v>
      </c>
      <c r="AF2" s="597" t="s">
        <v>211</v>
      </c>
      <c r="AG2" s="597" t="s">
        <v>143</v>
      </c>
      <c r="AH2" s="597" t="s">
        <v>144</v>
      </c>
      <c r="AI2" s="597" t="s">
        <v>200</v>
      </c>
      <c r="AJ2" s="597" t="s">
        <v>201</v>
      </c>
      <c r="AK2" s="598" t="s">
        <v>202</v>
      </c>
      <c r="AL2" s="599" t="s">
        <v>203</v>
      </c>
      <c r="AM2" s="599" t="s">
        <v>204</v>
      </c>
      <c r="AN2" s="597" t="s">
        <v>144</v>
      </c>
      <c r="AO2" s="601" t="s">
        <v>157</v>
      </c>
      <c r="AP2" s="599" t="s">
        <v>205</v>
      </c>
      <c r="AQ2" s="599" t="s">
        <v>206</v>
      </c>
      <c r="AR2" s="597" t="s">
        <v>207</v>
      </c>
      <c r="AS2" s="597" t="s">
        <v>208</v>
      </c>
      <c r="AT2" s="597" t="s">
        <v>209</v>
      </c>
      <c r="AU2" s="597" t="s">
        <v>210</v>
      </c>
      <c r="AV2" s="597" t="s">
        <v>211</v>
      </c>
      <c r="AW2" s="597" t="s">
        <v>143</v>
      </c>
      <c r="AX2" s="597" t="s">
        <v>144</v>
      </c>
      <c r="AY2" s="597" t="s">
        <v>200</v>
      </c>
      <c r="AZ2" s="597" t="s">
        <v>201</v>
      </c>
      <c r="BA2" s="597" t="s">
        <v>202</v>
      </c>
      <c r="BB2" s="597" t="s">
        <v>203</v>
      </c>
      <c r="BC2" s="597" t="s">
        <v>204</v>
      </c>
      <c r="BD2" s="597" t="s">
        <v>212</v>
      </c>
      <c r="BE2" s="597" t="s">
        <v>213</v>
      </c>
      <c r="BF2" s="597" t="s">
        <v>205</v>
      </c>
      <c r="BG2" s="598" t="s">
        <v>206</v>
      </c>
      <c r="BH2" s="597" t="s">
        <v>207</v>
      </c>
      <c r="BI2" s="597" t="s">
        <v>208</v>
      </c>
      <c r="BJ2" s="597" t="s">
        <v>209</v>
      </c>
      <c r="BK2" s="597" t="s">
        <v>210</v>
      </c>
      <c r="BL2" s="597" t="s">
        <v>211</v>
      </c>
      <c r="BM2" s="597" t="s">
        <v>143</v>
      </c>
      <c r="BN2" s="597" t="s">
        <v>144</v>
      </c>
      <c r="BO2" s="597" t="s">
        <v>200</v>
      </c>
      <c r="BP2" s="597" t="s">
        <v>201</v>
      </c>
      <c r="BQ2" s="597" t="s">
        <v>202</v>
      </c>
      <c r="BR2" s="597" t="s">
        <v>203</v>
      </c>
      <c r="BS2" s="597" t="s">
        <v>204</v>
      </c>
      <c r="BT2" s="597" t="s">
        <v>212</v>
      </c>
      <c r="BU2" s="597" t="s">
        <v>213</v>
      </c>
      <c r="BV2" s="597" t="s">
        <v>205</v>
      </c>
      <c r="BW2" s="597" t="s">
        <v>206</v>
      </c>
      <c r="BX2" s="597" t="s">
        <v>207</v>
      </c>
      <c r="BY2" s="597" t="s">
        <v>208</v>
      </c>
      <c r="BZ2" s="597" t="s">
        <v>209</v>
      </c>
      <c r="CA2" s="597" t="s">
        <v>210</v>
      </c>
      <c r="CB2" s="597" t="s">
        <v>211</v>
      </c>
      <c r="CC2" s="599" t="s">
        <v>143</v>
      </c>
      <c r="CD2" s="597" t="s">
        <v>144</v>
      </c>
      <c r="CE2" s="602" t="s">
        <v>200</v>
      </c>
      <c r="CF2" s="597" t="s">
        <v>201</v>
      </c>
      <c r="CG2" s="597" t="s">
        <v>202</v>
      </c>
      <c r="CH2" s="597" t="s">
        <v>203</v>
      </c>
      <c r="CI2" s="597" t="s">
        <v>204</v>
      </c>
      <c r="CJ2" s="597" t="s">
        <v>212</v>
      </c>
      <c r="CK2" s="597" t="s">
        <v>213</v>
      </c>
      <c r="CL2" s="597" t="s">
        <v>205</v>
      </c>
      <c r="CM2" s="597" t="s">
        <v>206</v>
      </c>
      <c r="CN2" s="597" t="s">
        <v>207</v>
      </c>
      <c r="CO2" s="597" t="s">
        <v>208</v>
      </c>
      <c r="CP2" s="597" t="s">
        <v>209</v>
      </c>
      <c r="CQ2" s="597" t="s">
        <v>210</v>
      </c>
      <c r="CR2" s="597" t="s">
        <v>211</v>
      </c>
      <c r="CS2" s="598" t="s">
        <v>143</v>
      </c>
      <c r="CT2" s="597" t="s">
        <v>144</v>
      </c>
    </row>
    <row r="3" spans="1:98" ht="42" customHeight="1" thickBot="1">
      <c r="A3" s="603"/>
      <c r="B3" s="604" t="s">
        <v>431</v>
      </c>
      <c r="C3" s="605" t="s">
        <v>214</v>
      </c>
      <c r="D3" s="605" t="s">
        <v>214</v>
      </c>
      <c r="E3" s="605" t="s">
        <v>214</v>
      </c>
      <c r="F3" s="605" t="s">
        <v>214</v>
      </c>
      <c r="G3" s="605" t="s">
        <v>214</v>
      </c>
      <c r="H3" s="605" t="s">
        <v>214</v>
      </c>
      <c r="I3" s="606"/>
      <c r="J3" s="605" t="s">
        <v>214</v>
      </c>
      <c r="K3" s="605" t="s">
        <v>214</v>
      </c>
      <c r="L3" s="605" t="s">
        <v>214</v>
      </c>
      <c r="M3" s="605" t="s">
        <v>214</v>
      </c>
      <c r="N3" s="605" t="s">
        <v>214</v>
      </c>
      <c r="O3" s="605" t="s">
        <v>214</v>
      </c>
      <c r="P3" s="605" t="s">
        <v>214</v>
      </c>
      <c r="Q3" s="605" t="s">
        <v>214</v>
      </c>
      <c r="R3" s="605"/>
      <c r="S3" s="605" t="s">
        <v>214</v>
      </c>
      <c r="T3" s="605" t="s">
        <v>214</v>
      </c>
      <c r="U3" s="605" t="s">
        <v>214</v>
      </c>
      <c r="V3" s="605" t="s">
        <v>214</v>
      </c>
      <c r="W3" s="605" t="s">
        <v>214</v>
      </c>
      <c r="X3" s="605" t="s">
        <v>214</v>
      </c>
      <c r="Y3" s="606"/>
      <c r="Z3" s="605" t="s">
        <v>214</v>
      </c>
      <c r="AA3" s="605" t="s">
        <v>214</v>
      </c>
      <c r="AB3" s="605" t="s">
        <v>214</v>
      </c>
      <c r="AC3" s="605" t="s">
        <v>214</v>
      </c>
      <c r="AD3" s="605" t="s">
        <v>214</v>
      </c>
      <c r="AE3" s="605" t="s">
        <v>214</v>
      </c>
      <c r="AF3" s="605" t="s">
        <v>214</v>
      </c>
      <c r="AG3" s="605" t="s">
        <v>214</v>
      </c>
      <c r="AH3" s="605"/>
      <c r="AI3" s="605" t="s">
        <v>214</v>
      </c>
      <c r="AJ3" s="605" t="s">
        <v>214</v>
      </c>
      <c r="AK3" s="605" t="s">
        <v>214</v>
      </c>
      <c r="AL3" s="605" t="s">
        <v>214</v>
      </c>
      <c r="AM3" s="605" t="s">
        <v>214</v>
      </c>
      <c r="AN3" s="605" t="s">
        <v>214</v>
      </c>
      <c r="AO3" s="606"/>
      <c r="AP3" s="605" t="s">
        <v>214</v>
      </c>
      <c r="AQ3" s="605" t="s">
        <v>214</v>
      </c>
      <c r="AR3" s="605" t="s">
        <v>214</v>
      </c>
      <c r="AS3" s="605" t="s">
        <v>214</v>
      </c>
      <c r="AT3" s="605" t="s">
        <v>214</v>
      </c>
      <c r="AU3" s="605" t="s">
        <v>214</v>
      </c>
      <c r="AV3" s="605" t="s">
        <v>214</v>
      </c>
      <c r="AW3" s="605" t="s">
        <v>214</v>
      </c>
      <c r="AX3" s="605"/>
      <c r="AY3" s="605" t="s">
        <v>214</v>
      </c>
      <c r="AZ3" s="605" t="s">
        <v>214</v>
      </c>
      <c r="BA3" s="605" t="s">
        <v>214</v>
      </c>
      <c r="BB3" s="605" t="s">
        <v>214</v>
      </c>
      <c r="BC3" s="605" t="s">
        <v>214</v>
      </c>
      <c r="BD3" s="605" t="s">
        <v>214</v>
      </c>
      <c r="BE3" s="605"/>
      <c r="BF3" s="605" t="s">
        <v>214</v>
      </c>
      <c r="BG3" s="605" t="s">
        <v>214</v>
      </c>
      <c r="BH3" s="605" t="s">
        <v>214</v>
      </c>
      <c r="BI3" s="605" t="s">
        <v>214</v>
      </c>
      <c r="BJ3" s="605" t="s">
        <v>214</v>
      </c>
      <c r="BK3" s="605" t="s">
        <v>214</v>
      </c>
      <c r="BL3" s="605" t="s">
        <v>214</v>
      </c>
      <c r="BM3" s="605" t="s">
        <v>214</v>
      </c>
      <c r="BN3" s="605"/>
      <c r="BO3" s="605" t="s">
        <v>214</v>
      </c>
      <c r="BP3" s="605" t="s">
        <v>214</v>
      </c>
      <c r="BQ3" s="605" t="s">
        <v>214</v>
      </c>
      <c r="BR3" s="605" t="s">
        <v>214</v>
      </c>
      <c r="BS3" s="605" t="s">
        <v>214</v>
      </c>
      <c r="BT3" s="605" t="s">
        <v>214</v>
      </c>
      <c r="BU3" s="605"/>
      <c r="BV3" s="605" t="s">
        <v>214</v>
      </c>
      <c r="BW3" s="605" t="s">
        <v>214</v>
      </c>
      <c r="BX3" s="605" t="s">
        <v>214</v>
      </c>
      <c r="BY3" s="605" t="s">
        <v>214</v>
      </c>
      <c r="BZ3" s="605" t="s">
        <v>214</v>
      </c>
      <c r="CA3" s="605" t="s">
        <v>214</v>
      </c>
      <c r="CB3" s="605" t="s">
        <v>214</v>
      </c>
      <c r="CC3" s="607" t="s">
        <v>214</v>
      </c>
      <c r="CD3" s="605"/>
      <c r="CE3" s="608" t="s">
        <v>214</v>
      </c>
      <c r="CF3" s="605" t="s">
        <v>214</v>
      </c>
      <c r="CG3" s="605" t="s">
        <v>214</v>
      </c>
      <c r="CH3" s="605" t="s">
        <v>214</v>
      </c>
      <c r="CI3" s="605" t="s">
        <v>214</v>
      </c>
      <c r="CJ3" s="605"/>
      <c r="CK3" s="606"/>
      <c r="CL3" s="605" t="s">
        <v>214</v>
      </c>
      <c r="CM3" s="605" t="s">
        <v>214</v>
      </c>
      <c r="CN3" s="605" t="s">
        <v>214</v>
      </c>
      <c r="CO3" s="605" t="s">
        <v>214</v>
      </c>
      <c r="CP3" s="605" t="s">
        <v>214</v>
      </c>
      <c r="CQ3" s="605" t="s">
        <v>214</v>
      </c>
      <c r="CR3" s="605" t="s">
        <v>214</v>
      </c>
      <c r="CS3" s="605" t="s">
        <v>214</v>
      </c>
      <c r="CT3" s="605"/>
    </row>
    <row r="4" spans="1:98" ht="13.5" thickBot="1">
      <c r="A4" s="609">
        <v>2</v>
      </c>
      <c r="B4" s="610" t="s">
        <v>167</v>
      </c>
      <c r="C4" s="611">
        <f>+C6+C7+C8+C9+C16+C17+C18+C21</f>
        <v>1187866.12</v>
      </c>
      <c r="D4" s="611" t="e">
        <f>+D6+D7+D8+D9+D16+D17+D18+D21</f>
        <v>#REF!</v>
      </c>
      <c r="E4" s="611" t="e">
        <f>+E6+E7+E8+E9+E16+E17+E18+E21</f>
        <v>#REF!</v>
      </c>
      <c r="F4" s="611" t="e">
        <f>+F6+F7+F8+F9+F16+F17+F18+F21</f>
        <v>#REF!</v>
      </c>
      <c r="G4" s="611">
        <f>+G6+G7+G8+G9+G16+G17+G18+G21</f>
        <v>1276051.12</v>
      </c>
      <c r="H4" s="611" t="e">
        <f>+H6+H7+H8+H9+H16+H17+H18+H21+H22</f>
        <v>#REF!</v>
      </c>
      <c r="I4" s="612" t="e">
        <f aca="true" t="shared" si="0" ref="I4:I11">+H4/G4</f>
        <v>#REF!</v>
      </c>
      <c r="J4" s="611">
        <f>+J6+J7+J8+J9+J16+J17+J18+J21</f>
        <v>283224</v>
      </c>
      <c r="K4" s="611">
        <f>+K6+K7+K8+K9+K16+K17+K18+K21</f>
        <v>1559275.12</v>
      </c>
      <c r="L4" s="611">
        <f>+L6+L7+L8+L9+L16+L17+L18+L21</f>
        <v>66708</v>
      </c>
      <c r="M4" s="611">
        <f aca="true" t="shared" si="1" ref="M4:M41">+K4+L4</f>
        <v>1625983.12</v>
      </c>
      <c r="N4" s="611">
        <f>+N6+N7+N8+N9+N16+N17+N18+N21</f>
        <v>-234050</v>
      </c>
      <c r="O4" s="611">
        <f aca="true" t="shared" si="2" ref="O4:O41">+M4+N4</f>
        <v>1391933.12</v>
      </c>
      <c r="P4" s="611">
        <f>+P6+P7+P8+P9+P16+P17+P18+P21</f>
        <v>-167040</v>
      </c>
      <c r="Q4" s="611">
        <f aca="true" t="shared" si="3" ref="Q4:Q41">+O4+P4</f>
        <v>1224893.12</v>
      </c>
      <c r="R4" s="611">
        <f>+R6+R7+R8+R9+R16+R17+R18+R21+R22</f>
        <v>831722</v>
      </c>
      <c r="S4" s="611">
        <f>SUM(S6:S9,S17:S21)</f>
        <v>283520.63624164</v>
      </c>
      <c r="T4" s="611">
        <f>+T6+T7+T8+T9+T16+T17+T18+T21</f>
        <v>-18819</v>
      </c>
      <c r="U4" s="611">
        <f>+U6+U7+U8+U9+U16+U17+U18+U21</f>
        <v>264701.63624164</v>
      </c>
      <c r="V4" s="611">
        <f>+V6+V7+V8+V9+V16+V17+V18+V21</f>
        <v>3461</v>
      </c>
      <c r="W4" s="611">
        <f>+W6+W7+W8+W9+W16+W17+W18+W21</f>
        <v>268162.63624164</v>
      </c>
      <c r="X4" s="611">
        <f>+X6+X7+X8+X9+X16+X17+X18+X21+X22</f>
        <v>104294</v>
      </c>
      <c r="Y4" s="612">
        <f>+X4/W4</f>
        <v>0.3889206992506637</v>
      </c>
      <c r="Z4" s="611">
        <f>+Z6+Z7+Z8+Z9+Z16+Z17+Z18+Z21</f>
        <v>-7732</v>
      </c>
      <c r="AA4" s="611">
        <f>+AA6+AA7+AA8+AA9+AA16+AA17+AA18+AA21</f>
        <v>260430.63624164002</v>
      </c>
      <c r="AB4" s="611">
        <f>+AB6+AB7+AB8+AB9+AB16+AB17+AB18+AB21</f>
        <v>-24840</v>
      </c>
      <c r="AC4" s="611">
        <f aca="true" t="shared" si="4" ref="AC4:AC41">+AA4+AB4</f>
        <v>235590.63624164002</v>
      </c>
      <c r="AD4" s="611">
        <f>+AD6+AD7+AD8+AD9+AD16+AD17+AD18+AD21</f>
        <v>6079</v>
      </c>
      <c r="AE4" s="611">
        <f aca="true" t="shared" si="5" ref="AE4:AE41">+AC4+AD4</f>
        <v>241669.63624164002</v>
      </c>
      <c r="AF4" s="611">
        <f>+AF6+AF7+AF8+AF9+AF16+AF17+AF18+AF21</f>
        <v>-17703</v>
      </c>
      <c r="AG4" s="611">
        <f aca="true" t="shared" si="6" ref="AG4:AG41">+AE4+AF4</f>
        <v>223966.63624164002</v>
      </c>
      <c r="AH4" s="611">
        <f>+AH6+AH7+AH8+AH9+AH16+AH17+AH18+AH21+AH22</f>
        <v>221675</v>
      </c>
      <c r="AI4" s="611">
        <f>SUM(AI6:AI9,AI17:AI21)</f>
        <v>203545.98</v>
      </c>
      <c r="AJ4" s="611">
        <f>+AJ6+AJ7+AJ8+AJ9+AJ16+AJ17+AJ18+AJ21</f>
        <v>0</v>
      </c>
      <c r="AK4" s="611">
        <f>+AK6+AK7+AK8+AK9+AK16+AK17+AK18+AK21</f>
        <v>203545.98</v>
      </c>
      <c r="AL4" s="611">
        <f>+AL6+AL7+AL8+AL9+AL16+AL17+AL18+AL21</f>
        <v>2360</v>
      </c>
      <c r="AM4" s="611">
        <f>+AM6+AM7+AM8+AM9+AM16+AM17+AM18+AM21</f>
        <v>205905.98</v>
      </c>
      <c r="AN4" s="611">
        <f>+AN6+AN7+AN8+AN9+AN16+AN17+AN18+AN21</f>
        <v>88493</v>
      </c>
      <c r="AO4" s="612">
        <f>+AN4/AM4</f>
        <v>0.4297738220133286</v>
      </c>
      <c r="AP4" s="611">
        <f>+AP6+AP7+AP8+AP9+AP16+AP17+AP18+AP21</f>
        <v>-4373</v>
      </c>
      <c r="AQ4" s="611">
        <f>+AQ6+AQ7+AQ8+AQ9+AQ16+AQ17+AQ18+AQ21</f>
        <v>201532.98</v>
      </c>
      <c r="AR4" s="611">
        <f>+AR6+AR7+AR8+AR9+AR16+AR17+AR18+AR21</f>
        <v>1204</v>
      </c>
      <c r="AS4" s="611">
        <f aca="true" t="shared" si="7" ref="AS4:AS41">+AQ4+AR4</f>
        <v>202736.98</v>
      </c>
      <c r="AT4" s="611">
        <f>+AT6+AT7+AT8+AT9+AT16+AT17+AT18+AT21</f>
        <v>-1938</v>
      </c>
      <c r="AU4" s="611">
        <f aca="true" t="shared" si="8" ref="AU4:AU41">+AS4+AT4</f>
        <v>200798.98</v>
      </c>
      <c r="AV4" s="611">
        <f>+AV6+AV7+AV8+AV9+AV16+AV17+AV18+AV21</f>
        <v>-12645</v>
      </c>
      <c r="AW4" s="611">
        <f aca="true" t="shared" si="9" ref="AW4:AW41">+AU4+AV4</f>
        <v>188153.98</v>
      </c>
      <c r="AX4" s="611">
        <f>+AX6+AX7+AX8+AX9+AX16+AX17+AX18+AX21+AX22</f>
        <v>187180</v>
      </c>
      <c r="AY4" s="611">
        <f>SUM(AY6:AY9,AY17:AY21)</f>
        <v>204457.8</v>
      </c>
      <c r="AZ4" s="611">
        <f>+AZ6+AZ7+AZ8+AZ9+AZ16+AZ17+AZ18+AZ21</f>
        <v>153</v>
      </c>
      <c r="BA4" s="611">
        <f>+BA6+BA7+BA8+BA9+BA16+BA17+BA18+BA21</f>
        <v>204610.8</v>
      </c>
      <c r="BB4" s="611">
        <f>+BB6+BB7+BB8+BB9+BB16+BB17+BB18+BB21</f>
        <v>2145</v>
      </c>
      <c r="BC4" s="611">
        <f>+BC6+BC7+BC8+BC9+BC16+BC17+BC18+BC21</f>
        <v>206755.8</v>
      </c>
      <c r="BD4" s="611">
        <f>+BD6+BD7+BD8+BD9+BD16+BD17+BD18+BD21</f>
        <v>92429</v>
      </c>
      <c r="BE4" s="612">
        <f>+BD4/BC4</f>
        <v>0.44704429089776443</v>
      </c>
      <c r="BF4" s="611">
        <f>+BF6+BF7+BF8+BF9+BF16+BF17+BF18+BF21</f>
        <v>-3577</v>
      </c>
      <c r="BG4" s="611">
        <f>+BG6+BG7+BG8+BG9+BG16+BG17+BG18+BG21</f>
        <v>203178.8</v>
      </c>
      <c r="BH4" s="611">
        <f>+BH6+BH7+BH8+BH9+BH16+BH17+BH18+BH21</f>
        <v>4252</v>
      </c>
      <c r="BI4" s="611">
        <f aca="true" t="shared" si="10" ref="BI4:BI41">+BG4+BH4</f>
        <v>207430.8</v>
      </c>
      <c r="BJ4" s="611">
        <f>+BJ6+BJ7+BJ8+BJ9+BJ16+BJ17+BJ18+BJ21</f>
        <v>3161</v>
      </c>
      <c r="BK4" s="611">
        <f aca="true" t="shared" si="11" ref="BK4:BK41">+BI4+BJ4</f>
        <v>210591.8</v>
      </c>
      <c r="BL4" s="611">
        <f>+BL6+BL7+BL8+BL9+BL16+BL17+BL18+BL21</f>
        <v>-12226</v>
      </c>
      <c r="BM4" s="611">
        <f aca="true" t="shared" si="12" ref="BM4:BM41">+BK4+BL4</f>
        <v>198365.8</v>
      </c>
      <c r="BN4" s="611">
        <f>+BN6+BN7+BN8+BN9+BN16+BN17+BN18+BN21+BN22</f>
        <v>193485</v>
      </c>
      <c r="BO4" s="611">
        <f>SUM(BO6:BO9,BO17:BO21)</f>
        <v>27922</v>
      </c>
      <c r="BP4" s="611">
        <f>+BP6+BP7+BP8+BP9+BP16+BP17+BP18+BP21</f>
        <v>208</v>
      </c>
      <c r="BQ4" s="611">
        <f>+BQ6+BQ7+BQ8+BQ9+BQ16+BQ17+BQ18+BQ21</f>
        <v>28130</v>
      </c>
      <c r="BR4" s="611">
        <f>+BR6+BR7+BR8+BR9+BR16+BR17+BR18+BR21</f>
        <v>787</v>
      </c>
      <c r="BS4" s="611">
        <f>+BS6+BS7+BS8+BS9+BS16+BS17+BS18+BS21</f>
        <v>28917</v>
      </c>
      <c r="BT4" s="611">
        <f>+BT6+BT7+BT8+BT9+BT16+BT17+BT18+BT21</f>
        <v>11333</v>
      </c>
      <c r="BU4" s="612">
        <f>+BT4/BS4</f>
        <v>0.39191479060760104</v>
      </c>
      <c r="BV4" s="611">
        <f>+BV6+BV7+BV8+BV9+BV16+BV17+BV18+BV21</f>
        <v>-411</v>
      </c>
      <c r="BW4" s="611">
        <f>+BW6+BW7+BW8+BW9+BW16+BW17+BW18+BW21</f>
        <v>28506</v>
      </c>
      <c r="BX4" s="611">
        <f>+BX6+BX7+BX8+BX9+BX16+BX17+BX18+BX21</f>
        <v>1725</v>
      </c>
      <c r="BY4" s="611">
        <f aca="true" t="shared" si="13" ref="BY4:BY41">+BW4+BX4</f>
        <v>30231</v>
      </c>
      <c r="BZ4" s="611">
        <f>+BZ6+BZ7+BZ8+BZ9+BZ16+BZ17+BZ18+BZ21</f>
        <v>68</v>
      </c>
      <c r="CA4" s="611">
        <f aca="true" t="shared" si="14" ref="CA4:CA41">+BY4+BZ4</f>
        <v>30299</v>
      </c>
      <c r="CB4" s="611">
        <f>+CB6+CB7+CB8+CB9+CB16+CB17+CB18+CB21</f>
        <v>-1874</v>
      </c>
      <c r="CC4" s="613">
        <f aca="true" t="shared" si="15" ref="CC4:CC41">+CA4+CB4</f>
        <v>28425</v>
      </c>
      <c r="CD4" s="611">
        <f>+CD6+CD7+CD8+CD9+CD16+CD17+CD18+CD21+CD22</f>
        <v>28005</v>
      </c>
      <c r="CE4" s="614">
        <f aca="true" t="shared" si="16" ref="CE4:CE22">+C4+S4+AI4+AY4+BO4</f>
        <v>1907312.53624164</v>
      </c>
      <c r="CF4" s="611" t="e">
        <f aca="true" t="shared" si="17" ref="CF4:CF22">+D4+T4+AJ4+AZ4+BP4</f>
        <v>#REF!</v>
      </c>
      <c r="CG4" s="611" t="e">
        <f aca="true" t="shared" si="18" ref="CG4:CG22">+E4+U4+AK4+BA4+BQ4</f>
        <v>#REF!</v>
      </c>
      <c r="CH4" s="611" t="e">
        <f aca="true" t="shared" si="19" ref="CH4:CH22">+F4+V4+AL4+BB4+BR4</f>
        <v>#REF!</v>
      </c>
      <c r="CI4" s="611">
        <f aca="true" t="shared" si="20" ref="CI4:CI22">+G4+W4+AM4+BC4+BS4</f>
        <v>1985792.53624164</v>
      </c>
      <c r="CJ4" s="611" t="e">
        <f aca="true" t="shared" si="21" ref="CJ4:CJ22">+H4+X4+AN4+BD4+BT4</f>
        <v>#REF!</v>
      </c>
      <c r="CK4" s="612" t="e">
        <f aca="true" t="shared" si="22" ref="CK4:CK13">+CJ4/CI4</f>
        <v>#REF!</v>
      </c>
      <c r="CL4" s="611">
        <f aca="true" t="shared" si="23" ref="CL4:CL23">+J4+Z4+AP4+BF4+BV4</f>
        <v>267131</v>
      </c>
      <c r="CM4" s="611">
        <f aca="true" t="shared" si="24" ref="CM4:CM23">+K4+AA4+AQ4+BG4+BW4</f>
        <v>2252923.53624164</v>
      </c>
      <c r="CN4" s="611">
        <f aca="true" t="shared" si="25" ref="CN4:CN23">+L4+AB4+AR4+BH4+BX4</f>
        <v>49049</v>
      </c>
      <c r="CO4" s="611">
        <f aca="true" t="shared" si="26" ref="CO4:CO23">+M4+AC4+AS4+BI4+BY4</f>
        <v>2301972.53624164</v>
      </c>
      <c r="CP4" s="611">
        <f aca="true" t="shared" si="27" ref="CP4:CP23">+N4+AD4+AT4+BJ4+BZ4</f>
        <v>-226680</v>
      </c>
      <c r="CQ4" s="611">
        <f aca="true" t="shared" si="28" ref="CQ4:CQ23">+O4+AE4+AU4+BK4+CA4</f>
        <v>2075292.53624164</v>
      </c>
      <c r="CR4" s="611">
        <f aca="true" t="shared" si="29" ref="CR4:CR23">+P4+AF4+AV4+BL4+CB4</f>
        <v>-211488</v>
      </c>
      <c r="CS4" s="611">
        <f aca="true" t="shared" si="30" ref="CS4:CS23">+Q4+AG4+AW4+BM4+CC4</f>
        <v>1863804.53624164</v>
      </c>
      <c r="CT4" s="611">
        <f>+R4+AH4+AX4+BN4+CD4</f>
        <v>1462067</v>
      </c>
    </row>
    <row r="5" spans="1:98" ht="47.25" customHeight="1" thickBot="1">
      <c r="A5" s="615"/>
      <c r="B5" s="616" t="s">
        <v>168</v>
      </c>
      <c r="C5" s="617">
        <f aca="true" t="shared" si="31" ref="C5:H5">+C4-C12</f>
        <v>1187866.12</v>
      </c>
      <c r="D5" s="617" t="e">
        <f t="shared" si="31"/>
        <v>#REF!</v>
      </c>
      <c r="E5" s="617" t="e">
        <f t="shared" si="31"/>
        <v>#REF!</v>
      </c>
      <c r="F5" s="617" t="e">
        <f t="shared" si="31"/>
        <v>#REF!</v>
      </c>
      <c r="G5" s="617">
        <f t="shared" si="31"/>
        <v>1276051.12</v>
      </c>
      <c r="H5" s="617" t="e">
        <f t="shared" si="31"/>
        <v>#REF!</v>
      </c>
      <c r="I5" s="618" t="e">
        <f t="shared" si="0"/>
        <v>#REF!</v>
      </c>
      <c r="J5" s="617">
        <f>+J4-J12</f>
        <v>283224</v>
      </c>
      <c r="K5" s="617">
        <f>+K4-K12</f>
        <v>1559275.12</v>
      </c>
      <c r="L5" s="617">
        <f>+L4-L12</f>
        <v>66708</v>
      </c>
      <c r="M5" s="617">
        <f t="shared" si="1"/>
        <v>1625983.12</v>
      </c>
      <c r="N5" s="617">
        <f>+N4-N12</f>
        <v>-234050</v>
      </c>
      <c r="O5" s="617">
        <f t="shared" si="2"/>
        <v>1391933.12</v>
      </c>
      <c r="P5" s="617">
        <f>+P4-P12</f>
        <v>-167040</v>
      </c>
      <c r="Q5" s="617">
        <f t="shared" si="3"/>
        <v>1224893.12</v>
      </c>
      <c r="R5" s="617">
        <f>+R4-R12</f>
        <v>831722</v>
      </c>
      <c r="S5" s="617">
        <f>+S4-S12-S10</f>
        <v>27895.405688</v>
      </c>
      <c r="T5" s="617">
        <f>+T4-T12</f>
        <v>0</v>
      </c>
      <c r="U5" s="617">
        <f>+U4-U12</f>
        <v>27895.405688</v>
      </c>
      <c r="V5" s="617">
        <f>+V4-V12</f>
        <v>0</v>
      </c>
      <c r="W5" s="617">
        <f>+W4-W12</f>
        <v>27895.405688</v>
      </c>
      <c r="X5" s="617">
        <f>+X4-X12</f>
        <v>11194</v>
      </c>
      <c r="Y5" s="618">
        <f>+X5/W5</f>
        <v>0.4012847178205914</v>
      </c>
      <c r="Z5" s="617">
        <f>+Z4-Z12</f>
        <v>-1837</v>
      </c>
      <c r="AA5" s="617">
        <f>+AA4-AA12</f>
        <v>26058.405688</v>
      </c>
      <c r="AB5" s="617">
        <f>+AB4-AB12</f>
        <v>0</v>
      </c>
      <c r="AC5" s="617">
        <f t="shared" si="4"/>
        <v>26058.405688</v>
      </c>
      <c r="AD5" s="617">
        <f>+AD4-AD12</f>
        <v>127</v>
      </c>
      <c r="AE5" s="617">
        <f t="shared" si="5"/>
        <v>26185.405688</v>
      </c>
      <c r="AF5" s="617">
        <f>+AF4-AF12</f>
        <v>-3428</v>
      </c>
      <c r="AG5" s="617">
        <f t="shared" si="6"/>
        <v>22757.405688</v>
      </c>
      <c r="AH5" s="617">
        <f>+AH4-AH12</f>
        <v>22656</v>
      </c>
      <c r="AI5" s="617">
        <f>+AI4-AI12-AI10</f>
        <v>27144.98000000001</v>
      </c>
      <c r="AJ5" s="617">
        <f>+AJ4-AJ12</f>
        <v>0</v>
      </c>
      <c r="AK5" s="617">
        <f>+AK4-AK12</f>
        <v>27144.98000000001</v>
      </c>
      <c r="AL5" s="617">
        <f>+AL4-AL12</f>
        <v>0</v>
      </c>
      <c r="AM5" s="617">
        <f>+AM4-AM12</f>
        <v>27144.98000000001</v>
      </c>
      <c r="AN5" s="617">
        <f>+AN4-AN12-AN10</f>
        <v>13739</v>
      </c>
      <c r="AO5" s="618">
        <f>+AN5/AM5</f>
        <v>0.5061340991962416</v>
      </c>
      <c r="AP5" s="617">
        <f>+AP4-AP12</f>
        <v>0</v>
      </c>
      <c r="AQ5" s="617">
        <f>+AQ4-AQ12</f>
        <v>27144.98000000001</v>
      </c>
      <c r="AR5" s="617">
        <f>+AR4-AR12</f>
        <v>0</v>
      </c>
      <c r="AS5" s="617">
        <f t="shared" si="7"/>
        <v>27144.98000000001</v>
      </c>
      <c r="AT5" s="617">
        <f>+AT4-AT12</f>
        <v>-1000</v>
      </c>
      <c r="AU5" s="617">
        <f t="shared" si="8"/>
        <v>26144.98000000001</v>
      </c>
      <c r="AV5" s="617">
        <f>+AV4-AV12</f>
        <v>2944</v>
      </c>
      <c r="AW5" s="617">
        <f t="shared" si="9"/>
        <v>29088.98000000001</v>
      </c>
      <c r="AX5" s="617">
        <f>+AX4-AX12</f>
        <v>29121</v>
      </c>
      <c r="AY5" s="617">
        <f>+AY4-AY12-AY10</f>
        <v>24815.79999999999</v>
      </c>
      <c r="AZ5" s="617">
        <f>+AZ4-AZ12</f>
        <v>0</v>
      </c>
      <c r="BA5" s="617">
        <f>+BA4-BA12</f>
        <v>24815.79999999999</v>
      </c>
      <c r="BB5" s="617">
        <f>+BB4-BB12</f>
        <v>0</v>
      </c>
      <c r="BC5" s="617">
        <f>+BC4-BC12</f>
        <v>24815.79999999999</v>
      </c>
      <c r="BD5" s="617">
        <f>+BD4-BD12</f>
        <v>11196</v>
      </c>
      <c r="BE5" s="618">
        <f>+BD5/BC5</f>
        <v>0.4511641776610065</v>
      </c>
      <c r="BF5" s="617">
        <f>+BF4-BF12</f>
        <v>120</v>
      </c>
      <c r="BG5" s="617">
        <f>+BG4-BG12</f>
        <v>24935.79999999999</v>
      </c>
      <c r="BH5" s="617">
        <f>+BH4-BH12</f>
        <v>0</v>
      </c>
      <c r="BI5" s="617">
        <f t="shared" si="10"/>
        <v>24935.79999999999</v>
      </c>
      <c r="BJ5" s="617">
        <f>+BJ4-BJ12</f>
        <v>0</v>
      </c>
      <c r="BK5" s="617">
        <f t="shared" si="11"/>
        <v>24935.79999999999</v>
      </c>
      <c r="BL5" s="617">
        <f>+BL4-BL12</f>
        <v>1172</v>
      </c>
      <c r="BM5" s="617">
        <f t="shared" si="12"/>
        <v>26107.79999999999</v>
      </c>
      <c r="BN5" s="617">
        <f>+BN4-BN12</f>
        <v>24932</v>
      </c>
      <c r="BO5" s="617">
        <f>+BO4-BO12-BO10</f>
        <v>1906</v>
      </c>
      <c r="BP5" s="617">
        <f>+BP4-BP12</f>
        <v>0</v>
      </c>
      <c r="BQ5" s="617">
        <f>+BQ4-BQ12</f>
        <v>1906</v>
      </c>
      <c r="BR5" s="617">
        <f>+BR4-BR12</f>
        <v>0</v>
      </c>
      <c r="BS5" s="617">
        <f>+BS4-BS12</f>
        <v>1906</v>
      </c>
      <c r="BT5" s="617">
        <f>+BT4-BT12</f>
        <v>1125</v>
      </c>
      <c r="BU5" s="618">
        <f>+BT5/BS5</f>
        <v>0.5902413431269675</v>
      </c>
      <c r="BV5" s="617">
        <f>+BV4-BV12</f>
        <v>0</v>
      </c>
      <c r="BW5" s="617">
        <f>+BW4-BW12</f>
        <v>1906</v>
      </c>
      <c r="BX5" s="617">
        <f>+BX4-BX12</f>
        <v>0</v>
      </c>
      <c r="BY5" s="617">
        <f t="shared" si="13"/>
        <v>1906</v>
      </c>
      <c r="BZ5" s="617">
        <f>+BZ4-BZ12</f>
        <v>0</v>
      </c>
      <c r="CA5" s="617">
        <f t="shared" si="14"/>
        <v>1906</v>
      </c>
      <c r="CB5" s="617">
        <f>+CB4-CB12</f>
        <v>262</v>
      </c>
      <c r="CC5" s="619">
        <f t="shared" si="15"/>
        <v>2168</v>
      </c>
      <c r="CD5" s="617">
        <f>+CD4-CD12</f>
        <v>2232</v>
      </c>
      <c r="CE5" s="620">
        <f t="shared" si="16"/>
        <v>1269628.305688</v>
      </c>
      <c r="CF5" s="617" t="e">
        <f t="shared" si="17"/>
        <v>#REF!</v>
      </c>
      <c r="CG5" s="617" t="e">
        <f t="shared" si="18"/>
        <v>#REF!</v>
      </c>
      <c r="CH5" s="617" t="e">
        <f t="shared" si="19"/>
        <v>#REF!</v>
      </c>
      <c r="CI5" s="617">
        <f t="shared" si="20"/>
        <v>1357813.305688</v>
      </c>
      <c r="CJ5" s="617" t="e">
        <f t="shared" si="21"/>
        <v>#REF!</v>
      </c>
      <c r="CK5" s="618" t="e">
        <f t="shared" si="22"/>
        <v>#REF!</v>
      </c>
      <c r="CL5" s="617">
        <f t="shared" si="23"/>
        <v>281507</v>
      </c>
      <c r="CM5" s="617">
        <f t="shared" si="24"/>
        <v>1639320.305688</v>
      </c>
      <c r="CN5" s="617">
        <f t="shared" si="25"/>
        <v>66708</v>
      </c>
      <c r="CO5" s="617">
        <f t="shared" si="26"/>
        <v>1706028.305688</v>
      </c>
      <c r="CP5" s="617">
        <f t="shared" si="27"/>
        <v>-234923</v>
      </c>
      <c r="CQ5" s="617">
        <f t="shared" si="28"/>
        <v>1471105.305688</v>
      </c>
      <c r="CR5" s="617">
        <f t="shared" si="29"/>
        <v>-166090</v>
      </c>
      <c r="CS5" s="617">
        <f t="shared" si="30"/>
        <v>1305015.305688</v>
      </c>
      <c r="CT5" s="617">
        <f aca="true" t="shared" si="32" ref="CT5:CT40">+R5+AH5+AX5+BN5+CD5</f>
        <v>910663</v>
      </c>
    </row>
    <row r="6" spans="1:98" ht="12.75">
      <c r="A6" s="621">
        <v>21</v>
      </c>
      <c r="B6" s="622" t="s">
        <v>432</v>
      </c>
      <c r="C6" s="623">
        <f>+'[1]2.sz.m.Bevételek'!G6</f>
        <v>64893.12</v>
      </c>
      <c r="D6" s="623"/>
      <c r="E6" s="623">
        <f>+C6+D6</f>
        <v>64893.12</v>
      </c>
      <c r="F6" s="623" t="e">
        <f>+'[1]2.sz.m.Bevételek'!J6</f>
        <v>#REF!</v>
      </c>
      <c r="G6" s="623">
        <f>+'[1]2.sz.m.Bevételek'!K6</f>
        <v>64893.12</v>
      </c>
      <c r="H6" s="623">
        <f>+'[1]2.sz.m.Bevételek'!L6</f>
        <v>15017</v>
      </c>
      <c r="I6" s="624">
        <f t="shared" si="0"/>
        <v>0.23141128057951288</v>
      </c>
      <c r="J6" s="623"/>
      <c r="K6" s="623">
        <f>+G6+J6</f>
        <v>64893.12</v>
      </c>
      <c r="L6" s="623">
        <v>1150</v>
      </c>
      <c r="M6" s="623">
        <f t="shared" si="1"/>
        <v>66043.12</v>
      </c>
      <c r="N6" s="623">
        <f>-477-27</f>
        <v>-504</v>
      </c>
      <c r="O6" s="623">
        <f t="shared" si="2"/>
        <v>65539.12</v>
      </c>
      <c r="P6" s="623">
        <f>+'[1]1A. melléklet_BEVÉTEL_KIADÁS'!Q5</f>
        <v>-23050</v>
      </c>
      <c r="Q6" s="623">
        <f t="shared" si="3"/>
        <v>42489.119999999995</v>
      </c>
      <c r="R6" s="623">
        <f>+'1. melléklet_BEVÉTEL_KIADÁS'!S5</f>
        <v>528349</v>
      </c>
      <c r="S6" s="623">
        <f>+'[2]2.sz.m.Bevételek'!G6+'[2]2.sz.m.Bevételek'!$G$22</f>
        <v>27895.405688000003</v>
      </c>
      <c r="T6" s="623"/>
      <c r="U6" s="623">
        <f>+S6+T6</f>
        <v>27895.405688000003</v>
      </c>
      <c r="V6" s="623"/>
      <c r="W6" s="623">
        <f>+U6+V6</f>
        <v>27895.405688000003</v>
      </c>
      <c r="X6" s="623">
        <f>+'[6]1. melléklet_BEVÉTEL_KIADÁS'!I5</f>
        <v>6324</v>
      </c>
      <c r="Y6" s="624">
        <f>+X6/W6</f>
        <v>0.2267039981684313</v>
      </c>
      <c r="Z6" s="623">
        <v>-1837</v>
      </c>
      <c r="AA6" s="623">
        <f aca="true" t="shared" si="33" ref="AA6:AA12">+W6+Z6</f>
        <v>26058.405688000003</v>
      </c>
      <c r="AB6" s="623"/>
      <c r="AC6" s="623">
        <f t="shared" si="4"/>
        <v>26058.405688000003</v>
      </c>
      <c r="AD6" s="623">
        <v>27</v>
      </c>
      <c r="AE6" s="623">
        <f t="shared" si="5"/>
        <v>26085.405688000003</v>
      </c>
      <c r="AF6" s="623">
        <v>-4126</v>
      </c>
      <c r="AG6" s="623">
        <f t="shared" si="6"/>
        <v>21959.405688000003</v>
      </c>
      <c r="AH6" s="623">
        <f>+'[11]1. melléklet_BEVÉTEL_KIADÁS'!S5</f>
        <v>14002</v>
      </c>
      <c r="AI6" s="623">
        <f>+'[3]2.sz.m.Bevételek'!$G$6</f>
        <v>27144.98</v>
      </c>
      <c r="AJ6" s="623"/>
      <c r="AK6" s="623">
        <f>+AI6+AJ6</f>
        <v>27144.98</v>
      </c>
      <c r="AL6" s="623"/>
      <c r="AM6" s="623">
        <f>+AI6+AL6</f>
        <v>27144.98</v>
      </c>
      <c r="AN6" s="623">
        <f>+'[7]1. melléklet_BEVÉTEL_KIADÁS'!$H$7</f>
        <v>13739</v>
      </c>
      <c r="AO6" s="624">
        <f>+AN6/AM6</f>
        <v>0.5061340991962419</v>
      </c>
      <c r="AP6" s="623"/>
      <c r="AQ6" s="623">
        <f aca="true" t="shared" si="34" ref="AQ6:AQ22">+AM6+AP6</f>
        <v>27144.98</v>
      </c>
      <c r="AR6" s="623"/>
      <c r="AS6" s="623">
        <f t="shared" si="7"/>
        <v>27144.98</v>
      </c>
      <c r="AT6" s="623">
        <v>-1000</v>
      </c>
      <c r="AU6" s="623">
        <f t="shared" si="8"/>
        <v>26144.98</v>
      </c>
      <c r="AV6" s="623">
        <v>2944</v>
      </c>
      <c r="AW6" s="623">
        <f t="shared" si="9"/>
        <v>29088.98</v>
      </c>
      <c r="AX6" s="623">
        <f>+'[10]1. melléklet_BEVÉTEL_KIADÁS'!R7</f>
        <v>29121</v>
      </c>
      <c r="AY6" s="623">
        <f>+'[4]2.sz.m.Bevételek'!$G$6</f>
        <v>24815.8</v>
      </c>
      <c r="AZ6" s="623"/>
      <c r="BA6" s="623">
        <f>+AY6+AZ6</f>
        <v>24815.8</v>
      </c>
      <c r="BB6" s="623"/>
      <c r="BC6" s="623">
        <f aca="true" t="shared" si="35" ref="BC6:BC22">+BA6+BB6</f>
        <v>24815.8</v>
      </c>
      <c r="BD6" s="623">
        <v>11196</v>
      </c>
      <c r="BE6" s="624">
        <f>+BD6/BC6</f>
        <v>0.4511641776610063</v>
      </c>
      <c r="BF6" s="623"/>
      <c r="BG6" s="623">
        <f aca="true" t="shared" si="36" ref="BG6:BG22">+BC6+BF6</f>
        <v>24815.8</v>
      </c>
      <c r="BH6" s="623"/>
      <c r="BI6" s="623">
        <f t="shared" si="10"/>
        <v>24815.8</v>
      </c>
      <c r="BJ6" s="623"/>
      <c r="BK6" s="623">
        <f t="shared" si="11"/>
        <v>24815.8</v>
      </c>
      <c r="BL6" s="623">
        <v>1172</v>
      </c>
      <c r="BM6" s="623">
        <f t="shared" si="12"/>
        <v>25987.8</v>
      </c>
      <c r="BN6" s="623">
        <f>+'[12]1. melléklet_BEVÉTEL_KIADÁS'!R7</f>
        <v>24928</v>
      </c>
      <c r="BO6" s="623">
        <f>+'[5]2.sz.m.Bevételek'!$G$6</f>
        <v>1906</v>
      </c>
      <c r="BP6" s="623"/>
      <c r="BQ6" s="623">
        <f>+BO6+BP6</f>
        <v>1906</v>
      </c>
      <c r="BR6" s="623"/>
      <c r="BS6" s="623">
        <f>+BQ6+BR6</f>
        <v>1906</v>
      </c>
      <c r="BT6" s="623">
        <v>1125</v>
      </c>
      <c r="BU6" s="624">
        <f>+BT6/BS6</f>
        <v>0.5902413431269675</v>
      </c>
      <c r="BV6" s="623"/>
      <c r="BW6" s="623">
        <f aca="true" t="shared" si="37" ref="BW6:BW22">+BS6+BV6</f>
        <v>1906</v>
      </c>
      <c r="BX6" s="623"/>
      <c r="BY6" s="623">
        <f t="shared" si="13"/>
        <v>1906</v>
      </c>
      <c r="BZ6" s="623"/>
      <c r="CA6" s="623">
        <f t="shared" si="14"/>
        <v>1906</v>
      </c>
      <c r="CB6" s="623">
        <v>262</v>
      </c>
      <c r="CC6" s="625">
        <f t="shared" si="15"/>
        <v>2168</v>
      </c>
      <c r="CD6" s="623">
        <f>+'[13]1. melléklet_BEVÉTEL_KIADÁS'!R6</f>
        <v>2232</v>
      </c>
      <c r="CE6" s="626">
        <f t="shared" si="16"/>
        <v>146655.305688</v>
      </c>
      <c r="CF6" s="623">
        <f t="shared" si="17"/>
        <v>0</v>
      </c>
      <c r="CG6" s="623">
        <f t="shared" si="18"/>
        <v>146655.305688</v>
      </c>
      <c r="CH6" s="623" t="e">
        <f t="shared" si="19"/>
        <v>#REF!</v>
      </c>
      <c r="CI6" s="623">
        <f t="shared" si="20"/>
        <v>146655.305688</v>
      </c>
      <c r="CJ6" s="623">
        <f t="shared" si="21"/>
        <v>47401</v>
      </c>
      <c r="CK6" s="624">
        <f t="shared" si="22"/>
        <v>0.32321367288847136</v>
      </c>
      <c r="CL6" s="623">
        <f t="shared" si="23"/>
        <v>-1837</v>
      </c>
      <c r="CM6" s="623">
        <f t="shared" si="24"/>
        <v>144818.305688</v>
      </c>
      <c r="CN6" s="623">
        <f t="shared" si="25"/>
        <v>1150</v>
      </c>
      <c r="CO6" s="623">
        <f t="shared" si="26"/>
        <v>145968.305688</v>
      </c>
      <c r="CP6" s="623">
        <f t="shared" si="27"/>
        <v>-1477</v>
      </c>
      <c r="CQ6" s="623">
        <f t="shared" si="28"/>
        <v>144491.305688</v>
      </c>
      <c r="CR6" s="623">
        <f t="shared" si="29"/>
        <v>-22798</v>
      </c>
      <c r="CS6" s="623">
        <f t="shared" si="30"/>
        <v>121693.305688</v>
      </c>
      <c r="CT6" s="623">
        <f t="shared" si="32"/>
        <v>598632</v>
      </c>
    </row>
    <row r="7" spans="1:98" ht="12.75">
      <c r="A7" s="627">
        <v>22</v>
      </c>
      <c r="B7" s="628" t="s">
        <v>169</v>
      </c>
      <c r="C7" s="623">
        <f>+'[1]2.sz.m.Bevételek'!G12+'[1]2.sz.m.Bevételek'!G22</f>
        <v>332030</v>
      </c>
      <c r="D7" s="623" t="e">
        <f>+'[1]2.sz.m.Bevételek'!H12+'[1]2.sz.m.Bevételek'!H22</f>
        <v>#REF!</v>
      </c>
      <c r="E7" s="623" t="e">
        <f>+C7+D7</f>
        <v>#REF!</v>
      </c>
      <c r="F7" s="623" t="e">
        <f>+'[1]2.sz.m.Bevételek'!J12+'[1]2.sz.m.Bevételek'!J22</f>
        <v>#REF!</v>
      </c>
      <c r="G7" s="623">
        <f>+'[1]2.sz.m.Bevételek'!K12+'[1]2.sz.m.Bevételek'!K22</f>
        <v>342030</v>
      </c>
      <c r="H7" s="623">
        <f>+'[1]2.sz.m.Bevételek'!L12+'[1]2.sz.m.Bevételek'!L22</f>
        <v>272232</v>
      </c>
      <c r="I7" s="624">
        <f t="shared" si="0"/>
        <v>0.7959301815630208</v>
      </c>
      <c r="J7" s="623">
        <v>28100</v>
      </c>
      <c r="K7" s="623">
        <f>+G7+J7</f>
        <v>370130</v>
      </c>
      <c r="L7" s="623">
        <v>52500</v>
      </c>
      <c r="M7" s="623">
        <f t="shared" si="1"/>
        <v>422630</v>
      </c>
      <c r="N7" s="623">
        <v>23000</v>
      </c>
      <c r="O7" s="623">
        <f t="shared" si="2"/>
        <v>445630</v>
      </c>
      <c r="P7" s="623">
        <f>+'[1]1A. melléklet_BEVÉTEL_KIADÁS'!Q6</f>
        <v>23292</v>
      </c>
      <c r="Q7" s="623">
        <f t="shared" si="3"/>
        <v>468922</v>
      </c>
      <c r="R7" s="623">
        <f>+'1. melléklet_BEVÉTEL_KIADÁS'!S6</f>
        <v>0</v>
      </c>
      <c r="S7" s="623"/>
      <c r="T7" s="623"/>
      <c r="U7" s="623">
        <f>+S7+T7</f>
        <v>0</v>
      </c>
      <c r="V7" s="623"/>
      <c r="W7" s="623">
        <f>+U7+V7</f>
        <v>0</v>
      </c>
      <c r="X7" s="623">
        <f>+'[6]1. melléklet_BEVÉTEL_KIADÁS'!I6</f>
        <v>4725</v>
      </c>
      <c r="Y7" s="624"/>
      <c r="Z7" s="623"/>
      <c r="AA7" s="623">
        <f t="shared" si="33"/>
        <v>0</v>
      </c>
      <c r="AB7" s="623"/>
      <c r="AC7" s="623">
        <f t="shared" si="4"/>
        <v>0</v>
      </c>
      <c r="AD7" s="623"/>
      <c r="AE7" s="623">
        <f t="shared" si="5"/>
        <v>0</v>
      </c>
      <c r="AF7" s="623">
        <v>622</v>
      </c>
      <c r="AG7" s="623">
        <f t="shared" si="6"/>
        <v>622</v>
      </c>
      <c r="AH7" s="623">
        <f>+'[11]1. melléklet_BEVÉTEL_KIADÁS'!S6</f>
        <v>8450</v>
      </c>
      <c r="AI7" s="623"/>
      <c r="AJ7" s="623"/>
      <c r="AK7" s="623">
        <f>+AI7+AJ7</f>
        <v>0</v>
      </c>
      <c r="AL7" s="623"/>
      <c r="AM7" s="623">
        <f>+AI7+AL7</f>
        <v>0</v>
      </c>
      <c r="AN7" s="623"/>
      <c r="AO7" s="624"/>
      <c r="AP7" s="623"/>
      <c r="AQ7" s="623">
        <f t="shared" si="34"/>
        <v>0</v>
      </c>
      <c r="AR7" s="623"/>
      <c r="AS7" s="623">
        <f t="shared" si="7"/>
        <v>0</v>
      </c>
      <c r="AT7" s="623"/>
      <c r="AU7" s="623">
        <f t="shared" si="8"/>
        <v>0</v>
      </c>
      <c r="AV7" s="623"/>
      <c r="AW7" s="623">
        <f t="shared" si="9"/>
        <v>0</v>
      </c>
      <c r="AX7" s="623">
        <f>+'[10]1. melléklet_BEVÉTEL_KIADÁS'!R8</f>
        <v>0</v>
      </c>
      <c r="AY7" s="623"/>
      <c r="AZ7" s="623"/>
      <c r="BA7" s="623">
        <f>+AY7+AZ7</f>
        <v>0</v>
      </c>
      <c r="BB7" s="623"/>
      <c r="BC7" s="623">
        <f t="shared" si="35"/>
        <v>0</v>
      </c>
      <c r="BD7" s="623"/>
      <c r="BE7" s="624"/>
      <c r="BF7" s="623"/>
      <c r="BG7" s="623">
        <f t="shared" si="36"/>
        <v>0</v>
      </c>
      <c r="BH7" s="623"/>
      <c r="BI7" s="623">
        <f t="shared" si="10"/>
        <v>0</v>
      </c>
      <c r="BJ7" s="623"/>
      <c r="BK7" s="623">
        <f t="shared" si="11"/>
        <v>0</v>
      </c>
      <c r="BL7" s="623"/>
      <c r="BM7" s="623">
        <f t="shared" si="12"/>
        <v>0</v>
      </c>
      <c r="BN7" s="623">
        <f>+'[12]1. melléklet_BEVÉTEL_KIADÁS'!R8</f>
        <v>0</v>
      </c>
      <c r="BO7" s="623"/>
      <c r="BP7" s="623"/>
      <c r="BQ7" s="623">
        <f>+BO7+BP7</f>
        <v>0</v>
      </c>
      <c r="BR7" s="623"/>
      <c r="BS7" s="623">
        <f>+BQ7+BR7</f>
        <v>0</v>
      </c>
      <c r="BT7" s="623">
        <f>+BR7+BS7</f>
        <v>0</v>
      </c>
      <c r="BU7" s="624"/>
      <c r="BV7" s="623"/>
      <c r="BW7" s="623">
        <f t="shared" si="37"/>
        <v>0</v>
      </c>
      <c r="BX7" s="623"/>
      <c r="BY7" s="623">
        <f t="shared" si="13"/>
        <v>0</v>
      </c>
      <c r="BZ7" s="623"/>
      <c r="CA7" s="623">
        <f t="shared" si="14"/>
        <v>0</v>
      </c>
      <c r="CB7" s="623"/>
      <c r="CC7" s="625">
        <f t="shared" si="15"/>
        <v>0</v>
      </c>
      <c r="CD7" s="623">
        <f>+'[13]1. melléklet_BEVÉTEL_KIADÁS'!R7</f>
        <v>0</v>
      </c>
      <c r="CE7" s="626">
        <f t="shared" si="16"/>
        <v>332030</v>
      </c>
      <c r="CF7" s="623" t="e">
        <f t="shared" si="17"/>
        <v>#REF!</v>
      </c>
      <c r="CG7" s="623" t="e">
        <f t="shared" si="18"/>
        <v>#REF!</v>
      </c>
      <c r="CH7" s="623" t="e">
        <f t="shared" si="19"/>
        <v>#REF!</v>
      </c>
      <c r="CI7" s="623">
        <f t="shared" si="20"/>
        <v>342030</v>
      </c>
      <c r="CJ7" s="623">
        <f t="shared" si="21"/>
        <v>276957</v>
      </c>
      <c r="CK7" s="624">
        <f t="shared" si="22"/>
        <v>0.8097447592316463</v>
      </c>
      <c r="CL7" s="623">
        <f t="shared" si="23"/>
        <v>28100</v>
      </c>
      <c r="CM7" s="623">
        <f t="shared" si="24"/>
        <v>370130</v>
      </c>
      <c r="CN7" s="623">
        <f t="shared" si="25"/>
        <v>52500</v>
      </c>
      <c r="CO7" s="623">
        <f t="shared" si="26"/>
        <v>422630</v>
      </c>
      <c r="CP7" s="623">
        <f t="shared" si="27"/>
        <v>23000</v>
      </c>
      <c r="CQ7" s="623">
        <f t="shared" si="28"/>
        <v>445630</v>
      </c>
      <c r="CR7" s="623">
        <f t="shared" si="29"/>
        <v>23914</v>
      </c>
      <c r="CS7" s="623">
        <f t="shared" si="30"/>
        <v>469544</v>
      </c>
      <c r="CT7" s="623">
        <f t="shared" si="32"/>
        <v>8450</v>
      </c>
    </row>
    <row r="8" spans="1:98" ht="12.75">
      <c r="A8" s="627">
        <v>23</v>
      </c>
      <c r="B8" s="628" t="s">
        <v>101</v>
      </c>
      <c r="C8" s="623">
        <f>+'[1]2.sz.m.Bevételek'!G50</f>
        <v>149937</v>
      </c>
      <c r="D8" s="623"/>
      <c r="E8" s="623">
        <f>+C8+D8</f>
        <v>149937</v>
      </c>
      <c r="F8" s="623" t="e">
        <f>+'[1]2.sz.m.Bevételek'!J50</f>
        <v>#REF!</v>
      </c>
      <c r="G8" s="623">
        <f>+'[1]2.sz.m.Bevételek'!K50</f>
        <v>149937</v>
      </c>
      <c r="H8" s="623">
        <f>+'[1]2.sz.m.Bevételek'!L50</f>
        <v>575</v>
      </c>
      <c r="I8" s="624">
        <f t="shared" si="0"/>
        <v>0.0038349440098174566</v>
      </c>
      <c r="J8" s="623"/>
      <c r="K8" s="623">
        <f>+G8+J8</f>
        <v>149937</v>
      </c>
      <c r="L8" s="623">
        <v>-3150</v>
      </c>
      <c r="M8" s="623">
        <f t="shared" si="1"/>
        <v>146787</v>
      </c>
      <c r="N8" s="623">
        <f>-1191-100</f>
        <v>-1291</v>
      </c>
      <c r="O8" s="623">
        <f t="shared" si="2"/>
        <v>145496</v>
      </c>
      <c r="P8" s="623">
        <f>+'[1]1A. melléklet_BEVÉTEL_KIADÁS'!Q7</f>
        <v>-139406</v>
      </c>
      <c r="Q8" s="623">
        <f t="shared" si="3"/>
        <v>6090</v>
      </c>
      <c r="R8" s="623">
        <f>+'1. melléklet_BEVÉTEL_KIADÁS'!S7</f>
        <v>71397</v>
      </c>
      <c r="S8" s="623"/>
      <c r="T8" s="623"/>
      <c r="U8" s="623">
        <f>+S8+T8</f>
        <v>0</v>
      </c>
      <c r="V8" s="623"/>
      <c r="W8" s="623">
        <f>+U8+V8</f>
        <v>0</v>
      </c>
      <c r="X8" s="623">
        <f>+'[6]1. melléklet_BEVÉTEL_KIADÁS'!I7</f>
        <v>0</v>
      </c>
      <c r="Y8" s="624"/>
      <c r="Z8" s="623"/>
      <c r="AA8" s="623">
        <f t="shared" si="33"/>
        <v>0</v>
      </c>
      <c r="AB8" s="623"/>
      <c r="AC8" s="623">
        <f t="shared" si="4"/>
        <v>0</v>
      </c>
      <c r="AD8" s="623">
        <v>100</v>
      </c>
      <c r="AE8" s="623">
        <f t="shared" si="5"/>
        <v>100</v>
      </c>
      <c r="AF8" s="623"/>
      <c r="AG8" s="623">
        <f t="shared" si="6"/>
        <v>100</v>
      </c>
      <c r="AH8" s="623">
        <f>+'[11]1. melléklet_BEVÉTEL_KIADÁS'!S7</f>
        <v>100</v>
      </c>
      <c r="AI8" s="623"/>
      <c r="AJ8" s="623"/>
      <c r="AK8" s="623">
        <f>+AI8+AJ8</f>
        <v>0</v>
      </c>
      <c r="AL8" s="623"/>
      <c r="AM8" s="623">
        <f>+AI8+AL8</f>
        <v>0</v>
      </c>
      <c r="AN8" s="623"/>
      <c r="AO8" s="624"/>
      <c r="AP8" s="623"/>
      <c r="AQ8" s="623">
        <f t="shared" si="34"/>
        <v>0</v>
      </c>
      <c r="AR8" s="623"/>
      <c r="AS8" s="623">
        <f t="shared" si="7"/>
        <v>0</v>
      </c>
      <c r="AT8" s="623"/>
      <c r="AU8" s="623">
        <f t="shared" si="8"/>
        <v>0</v>
      </c>
      <c r="AV8" s="623"/>
      <c r="AW8" s="623">
        <f t="shared" si="9"/>
        <v>0</v>
      </c>
      <c r="AX8" s="623">
        <f>+'[10]1. melléklet_BEVÉTEL_KIADÁS'!R9</f>
        <v>0</v>
      </c>
      <c r="AY8" s="623"/>
      <c r="AZ8" s="623"/>
      <c r="BA8" s="623">
        <f>+AY8+AZ8</f>
        <v>0</v>
      </c>
      <c r="BB8" s="623"/>
      <c r="BC8" s="623">
        <f t="shared" si="35"/>
        <v>0</v>
      </c>
      <c r="BD8" s="623"/>
      <c r="BE8" s="624"/>
      <c r="BF8" s="623"/>
      <c r="BG8" s="623">
        <f t="shared" si="36"/>
        <v>0</v>
      </c>
      <c r="BH8" s="623"/>
      <c r="BI8" s="623">
        <f t="shared" si="10"/>
        <v>0</v>
      </c>
      <c r="BJ8" s="623"/>
      <c r="BK8" s="623">
        <f t="shared" si="11"/>
        <v>0</v>
      </c>
      <c r="BL8" s="623"/>
      <c r="BM8" s="623">
        <f t="shared" si="12"/>
        <v>0</v>
      </c>
      <c r="BN8" s="623">
        <f>+'[12]1. melléklet_BEVÉTEL_KIADÁS'!R9</f>
        <v>0</v>
      </c>
      <c r="BO8" s="623"/>
      <c r="BP8" s="623"/>
      <c r="BQ8" s="623">
        <f>+BO8+BP8</f>
        <v>0</v>
      </c>
      <c r="BR8" s="623"/>
      <c r="BS8" s="623">
        <f>+BQ8+BR8</f>
        <v>0</v>
      </c>
      <c r="BT8" s="623">
        <f>+BR8+BS8</f>
        <v>0</v>
      </c>
      <c r="BU8" s="624"/>
      <c r="BV8" s="623"/>
      <c r="BW8" s="623">
        <f t="shared" si="37"/>
        <v>0</v>
      </c>
      <c r="BX8" s="623"/>
      <c r="BY8" s="623">
        <f t="shared" si="13"/>
        <v>0</v>
      </c>
      <c r="BZ8" s="623"/>
      <c r="CA8" s="623">
        <f t="shared" si="14"/>
        <v>0</v>
      </c>
      <c r="CB8" s="623"/>
      <c r="CC8" s="625">
        <f t="shared" si="15"/>
        <v>0</v>
      </c>
      <c r="CD8" s="623">
        <f>+'[13]1. melléklet_BEVÉTEL_KIADÁS'!R8</f>
        <v>0</v>
      </c>
      <c r="CE8" s="626">
        <f t="shared" si="16"/>
        <v>149937</v>
      </c>
      <c r="CF8" s="623">
        <f t="shared" si="17"/>
        <v>0</v>
      </c>
      <c r="CG8" s="623">
        <f t="shared" si="18"/>
        <v>149937</v>
      </c>
      <c r="CH8" s="623" t="e">
        <f t="shared" si="19"/>
        <v>#REF!</v>
      </c>
      <c r="CI8" s="623">
        <f t="shared" si="20"/>
        <v>149937</v>
      </c>
      <c r="CJ8" s="623">
        <f t="shared" si="21"/>
        <v>575</v>
      </c>
      <c r="CK8" s="624">
        <f t="shared" si="22"/>
        <v>0.0038349440098174566</v>
      </c>
      <c r="CL8" s="623">
        <f t="shared" si="23"/>
        <v>0</v>
      </c>
      <c r="CM8" s="623">
        <f t="shared" si="24"/>
        <v>149937</v>
      </c>
      <c r="CN8" s="623">
        <f t="shared" si="25"/>
        <v>-3150</v>
      </c>
      <c r="CO8" s="623">
        <f t="shared" si="26"/>
        <v>146787</v>
      </c>
      <c r="CP8" s="623">
        <f t="shared" si="27"/>
        <v>-1191</v>
      </c>
      <c r="CQ8" s="623">
        <f t="shared" si="28"/>
        <v>145596</v>
      </c>
      <c r="CR8" s="623">
        <f t="shared" si="29"/>
        <v>-139406</v>
      </c>
      <c r="CS8" s="623">
        <f t="shared" si="30"/>
        <v>6190</v>
      </c>
      <c r="CT8" s="623">
        <f t="shared" si="32"/>
        <v>71497</v>
      </c>
    </row>
    <row r="9" spans="1:98" ht="12.75">
      <c r="A9" s="629">
        <v>24</v>
      </c>
      <c r="B9" s="630" t="s">
        <v>170</v>
      </c>
      <c r="C9" s="631">
        <f aca="true" t="shared" si="38" ref="C9:H9">SUM(C10:C15)</f>
        <v>570665</v>
      </c>
      <c r="D9" s="631">
        <f t="shared" si="38"/>
        <v>3047</v>
      </c>
      <c r="E9" s="631">
        <f t="shared" si="38"/>
        <v>573712</v>
      </c>
      <c r="F9" s="631" t="e">
        <f t="shared" si="38"/>
        <v>#REF!</v>
      </c>
      <c r="G9" s="631">
        <f t="shared" si="38"/>
        <v>634061</v>
      </c>
      <c r="H9" s="631">
        <f t="shared" si="38"/>
        <v>389153</v>
      </c>
      <c r="I9" s="632">
        <f t="shared" si="0"/>
        <v>0.6137469423288926</v>
      </c>
      <c r="J9" s="631">
        <f>SUM(J10:J15)</f>
        <v>227085</v>
      </c>
      <c r="K9" s="631">
        <f>SUM(K10:K15)</f>
        <v>861146</v>
      </c>
      <c r="L9" s="631">
        <v>8093</v>
      </c>
      <c r="M9" s="631">
        <f t="shared" si="1"/>
        <v>869239</v>
      </c>
      <c r="N9" s="631">
        <f>SUM(N10:N15)</f>
        <v>-255255</v>
      </c>
      <c r="O9" s="631">
        <f t="shared" si="2"/>
        <v>613984</v>
      </c>
      <c r="P9" s="631">
        <f>+'[1]1A. melléklet_BEVÉTEL_KIADÁS'!Q8</f>
        <v>21608</v>
      </c>
      <c r="Q9" s="631">
        <f t="shared" si="3"/>
        <v>635592</v>
      </c>
      <c r="R9" s="631">
        <f>+'1. melléklet_BEVÉTEL_KIADÁS'!S8</f>
        <v>204998</v>
      </c>
      <c r="S9" s="631">
        <f>SUM(S10:S15)</f>
        <v>255625.23055364002</v>
      </c>
      <c r="T9" s="631">
        <f>SUM(T10:T15)</f>
        <v>-18819</v>
      </c>
      <c r="U9" s="631">
        <f>SUM(U10:U15)</f>
        <v>236806.23055364002</v>
      </c>
      <c r="V9" s="631">
        <f>SUM(V10:V15)</f>
        <v>3461</v>
      </c>
      <c r="W9" s="631">
        <f>SUM(W10:W15)</f>
        <v>240267.23055364002</v>
      </c>
      <c r="X9" s="631">
        <f>+'[6]1. melléklet_BEVÉTEL_KIADÁS'!I8</f>
        <v>93176</v>
      </c>
      <c r="Y9" s="632">
        <f>+X9/W9</f>
        <v>0.3878015315917096</v>
      </c>
      <c r="Z9" s="631">
        <f>SUM(Z10:Z15)</f>
        <v>-5895</v>
      </c>
      <c r="AA9" s="631">
        <f t="shared" si="33"/>
        <v>234372.23055364002</v>
      </c>
      <c r="AB9" s="631">
        <f>SUM(AB10:AB15)</f>
        <v>-24840</v>
      </c>
      <c r="AC9" s="631">
        <f t="shared" si="4"/>
        <v>209532.23055364002</v>
      </c>
      <c r="AD9" s="631">
        <f>SUM(AD10:AD15)</f>
        <v>5952</v>
      </c>
      <c r="AE9" s="631">
        <f t="shared" si="5"/>
        <v>215484.23055364002</v>
      </c>
      <c r="AF9" s="631">
        <f>SUM(AF10:AF15)</f>
        <v>-14199</v>
      </c>
      <c r="AG9" s="631">
        <f t="shared" si="6"/>
        <v>201285.23055364002</v>
      </c>
      <c r="AH9" s="631">
        <f>+'[11]1. melléklet_BEVÉTEL_KIADÁS'!S8</f>
        <v>199095</v>
      </c>
      <c r="AI9" s="631">
        <f>SUM(AI10:AI15)</f>
        <v>176401</v>
      </c>
      <c r="AJ9" s="631">
        <f>SUM(AJ10:AJ15)</f>
        <v>0</v>
      </c>
      <c r="AK9" s="631">
        <f>SUM(AK10:AK15)</f>
        <v>176401</v>
      </c>
      <c r="AL9" s="631">
        <f>+'[7]1. melléklet_BEVÉTEL_KIADÁS'!F10</f>
        <v>2360</v>
      </c>
      <c r="AM9" s="631">
        <f>SUM(AM10:AM15)</f>
        <v>178761</v>
      </c>
      <c r="AN9" s="631">
        <f>+'[7]1. melléklet_BEVÉTEL_KIADÁS'!H10</f>
        <v>74754</v>
      </c>
      <c r="AO9" s="632">
        <f>+AN9/AM9</f>
        <v>0.4181784617450115</v>
      </c>
      <c r="AP9" s="631">
        <f>SUM(AP10:AP15)</f>
        <v>-4373</v>
      </c>
      <c r="AQ9" s="631">
        <f t="shared" si="34"/>
        <v>174388</v>
      </c>
      <c r="AR9" s="631">
        <f>SUM(AR10:AR15)</f>
        <v>1204</v>
      </c>
      <c r="AS9" s="631">
        <f t="shared" si="7"/>
        <v>175592</v>
      </c>
      <c r="AT9" s="631">
        <f>SUM(AT10:AT15)</f>
        <v>-938</v>
      </c>
      <c r="AU9" s="631">
        <f t="shared" si="8"/>
        <v>174654</v>
      </c>
      <c r="AV9" s="631">
        <f>SUM(AV10:AV15)</f>
        <v>-15589</v>
      </c>
      <c r="AW9" s="631">
        <f t="shared" si="9"/>
        <v>159065</v>
      </c>
      <c r="AX9" s="631">
        <f>+'[10]1. melléklet_BEVÉTEL_KIADÁS'!R10</f>
        <v>158059</v>
      </c>
      <c r="AY9" s="631">
        <f>SUM(AY10:AY15)</f>
        <v>179642</v>
      </c>
      <c r="AZ9" s="631">
        <f>SUM(AZ10:AZ15)</f>
        <v>153</v>
      </c>
      <c r="BA9" s="631">
        <f>SUM(BA10:BA15)</f>
        <v>179795</v>
      </c>
      <c r="BB9" s="631">
        <f>SUM(BB10:BB15)</f>
        <v>2145</v>
      </c>
      <c r="BC9" s="631">
        <f t="shared" si="35"/>
        <v>181940</v>
      </c>
      <c r="BD9" s="631">
        <v>81233</v>
      </c>
      <c r="BE9" s="632">
        <f>+BD9/BC9</f>
        <v>0.44648235682092996</v>
      </c>
      <c r="BF9" s="631">
        <v>-3577</v>
      </c>
      <c r="BG9" s="631">
        <f t="shared" si="36"/>
        <v>178363</v>
      </c>
      <c r="BH9" s="631">
        <f>SUM(BH10:BH15)</f>
        <v>4252</v>
      </c>
      <c r="BI9" s="631">
        <f t="shared" si="10"/>
        <v>182615</v>
      </c>
      <c r="BJ9" s="631">
        <f>SUM(BJ10:BJ15)</f>
        <v>3161</v>
      </c>
      <c r="BK9" s="631">
        <f t="shared" si="11"/>
        <v>185776</v>
      </c>
      <c r="BL9" s="631">
        <f>SUM(BL10:BL15)</f>
        <v>-13398</v>
      </c>
      <c r="BM9" s="631">
        <f t="shared" si="12"/>
        <v>172378</v>
      </c>
      <c r="BN9" s="631">
        <f>+'[12]1. melléklet_BEVÉTEL_KIADÁS'!R10</f>
        <v>168553</v>
      </c>
      <c r="BO9" s="631">
        <f aca="true" t="shared" si="39" ref="BO9:BT9">SUM(BO10:BO15)</f>
        <v>26016</v>
      </c>
      <c r="BP9" s="631">
        <f t="shared" si="39"/>
        <v>208</v>
      </c>
      <c r="BQ9" s="631">
        <f t="shared" si="39"/>
        <v>26224</v>
      </c>
      <c r="BR9" s="631">
        <f t="shared" si="39"/>
        <v>787</v>
      </c>
      <c r="BS9" s="631">
        <f t="shared" si="39"/>
        <v>27011</v>
      </c>
      <c r="BT9" s="631">
        <f t="shared" si="39"/>
        <v>10208</v>
      </c>
      <c r="BU9" s="632">
        <f>+BT9/BS9</f>
        <v>0.37792010662322756</v>
      </c>
      <c r="BV9" s="631">
        <f>SUM(BV10:BV15)</f>
        <v>-411</v>
      </c>
      <c r="BW9" s="631">
        <f t="shared" si="37"/>
        <v>26600</v>
      </c>
      <c r="BX9" s="631">
        <f>SUM(BX10:BX15)</f>
        <v>1725</v>
      </c>
      <c r="BY9" s="631">
        <f t="shared" si="13"/>
        <v>28325</v>
      </c>
      <c r="BZ9" s="631">
        <f>SUM(BZ10:BZ15)</f>
        <v>68</v>
      </c>
      <c r="CA9" s="631">
        <f t="shared" si="14"/>
        <v>28393</v>
      </c>
      <c r="CB9" s="631">
        <f>SUM(CB10:CB15)</f>
        <v>-2136</v>
      </c>
      <c r="CC9" s="630">
        <f t="shared" si="15"/>
        <v>26257</v>
      </c>
      <c r="CD9" s="631">
        <f>+'[13]1. melléklet_BEVÉTEL_KIADÁS'!R9</f>
        <v>25773</v>
      </c>
      <c r="CE9" s="633">
        <f t="shared" si="16"/>
        <v>1208349.23055364</v>
      </c>
      <c r="CF9" s="631">
        <f t="shared" si="17"/>
        <v>-15411</v>
      </c>
      <c r="CG9" s="631">
        <f t="shared" si="18"/>
        <v>1192938.23055364</v>
      </c>
      <c r="CH9" s="631" t="e">
        <f t="shared" si="19"/>
        <v>#REF!</v>
      </c>
      <c r="CI9" s="631">
        <f t="shared" si="20"/>
        <v>1262040.23055364</v>
      </c>
      <c r="CJ9" s="631">
        <f t="shared" si="21"/>
        <v>648524</v>
      </c>
      <c r="CK9" s="632">
        <f t="shared" si="22"/>
        <v>0.5138695140609751</v>
      </c>
      <c r="CL9" s="631">
        <f t="shared" si="23"/>
        <v>212829</v>
      </c>
      <c r="CM9" s="631">
        <f t="shared" si="24"/>
        <v>1474869.23055364</v>
      </c>
      <c r="CN9" s="631">
        <f t="shared" si="25"/>
        <v>-9566</v>
      </c>
      <c r="CO9" s="631">
        <f t="shared" si="26"/>
        <v>1465303.23055364</v>
      </c>
      <c r="CP9" s="631">
        <f t="shared" si="27"/>
        <v>-247012</v>
      </c>
      <c r="CQ9" s="631">
        <f t="shared" si="28"/>
        <v>1218291.23055364</v>
      </c>
      <c r="CR9" s="631">
        <f t="shared" si="29"/>
        <v>-23714</v>
      </c>
      <c r="CS9" s="631">
        <f t="shared" si="30"/>
        <v>1194577.23055364</v>
      </c>
      <c r="CT9" s="631">
        <f t="shared" si="32"/>
        <v>756478</v>
      </c>
    </row>
    <row r="10" spans="1:98" ht="12.75">
      <c r="A10" s="634">
        <v>241</v>
      </c>
      <c r="B10" s="635" t="s">
        <v>171</v>
      </c>
      <c r="C10" s="636">
        <f>+'[1]2.sz.m.Bevételek'!$G$30+'[1]2.sz.m.Bevételek'!$G$19</f>
        <v>363531</v>
      </c>
      <c r="D10" s="636">
        <v>3047</v>
      </c>
      <c r="E10" s="636">
        <f aca="true" t="shared" si="40" ref="E10:E17">+C10+D10</f>
        <v>366578</v>
      </c>
      <c r="F10" s="636" t="e">
        <f>+'[1]2.sz.m.Bevételek'!J30+'[1]2.sz.m.Bevételek'!J19</f>
        <v>#REF!</v>
      </c>
      <c r="G10" s="636">
        <f>+'[1]2.sz.m.Bevételek'!K30+'[1]2.sz.m.Bevételek'!K19</f>
        <v>426927</v>
      </c>
      <c r="H10" s="636">
        <f>+'[1]2.sz.m.Bevételek'!L30+'[1]2.sz.m.Bevételek'!L19</f>
        <v>252524</v>
      </c>
      <c r="I10" s="637">
        <f t="shared" si="0"/>
        <v>0.5914922223237228</v>
      </c>
      <c r="J10" s="636"/>
      <c r="K10" s="636">
        <f aca="true" t="shared" si="41" ref="K10:K17">+G10+J10</f>
        <v>426927</v>
      </c>
      <c r="L10" s="636">
        <v>5825</v>
      </c>
      <c r="M10" s="636">
        <f t="shared" si="1"/>
        <v>432752</v>
      </c>
      <c r="N10" s="636">
        <v>2696</v>
      </c>
      <c r="O10" s="636">
        <f t="shared" si="2"/>
        <v>435448</v>
      </c>
      <c r="P10" s="636">
        <f>+'[1]1A. melléklet_BEVÉTEL_KIADÁS'!Q9+534</f>
        <v>18626</v>
      </c>
      <c r="Q10" s="636">
        <f t="shared" si="3"/>
        <v>454074</v>
      </c>
      <c r="R10" s="636">
        <f>+'1. melléklet_BEVÉTEL_KIADÁS'!S9</f>
        <v>344128</v>
      </c>
      <c r="S10" s="636"/>
      <c r="T10" s="636"/>
      <c r="U10" s="636">
        <f aca="true" t="shared" si="42" ref="U10:U17">+S10+T10</f>
        <v>0</v>
      </c>
      <c r="V10" s="636"/>
      <c r="W10" s="636">
        <f aca="true" t="shared" si="43" ref="W10:W17">+U10+V10</f>
        <v>0</v>
      </c>
      <c r="X10" s="636"/>
      <c r="Y10" s="637"/>
      <c r="Z10" s="636"/>
      <c r="AA10" s="636">
        <f t="shared" si="33"/>
        <v>0</v>
      </c>
      <c r="AB10" s="636"/>
      <c r="AC10" s="636">
        <f t="shared" si="4"/>
        <v>0</v>
      </c>
      <c r="AD10" s="636"/>
      <c r="AE10" s="636">
        <f t="shared" si="5"/>
        <v>0</v>
      </c>
      <c r="AF10" s="636"/>
      <c r="AG10" s="636">
        <f t="shared" si="6"/>
        <v>0</v>
      </c>
      <c r="AH10" s="636"/>
      <c r="AI10" s="636"/>
      <c r="AJ10" s="636"/>
      <c r="AK10" s="636">
        <f aca="true" t="shared" si="44" ref="AK10:AK17">+AI10+AJ10</f>
        <v>0</v>
      </c>
      <c r="AL10" s="636"/>
      <c r="AM10" s="636">
        <f aca="true" t="shared" si="45" ref="AM10:AM17">+AI10+AL10</f>
        <v>0</v>
      </c>
      <c r="AN10" s="631"/>
      <c r="AO10" s="637"/>
      <c r="AP10" s="636"/>
      <c r="AQ10" s="636">
        <f t="shared" si="34"/>
        <v>0</v>
      </c>
      <c r="AR10" s="636"/>
      <c r="AS10" s="636">
        <f t="shared" si="7"/>
        <v>0</v>
      </c>
      <c r="AT10" s="636"/>
      <c r="AU10" s="636">
        <f t="shared" si="8"/>
        <v>0</v>
      </c>
      <c r="AV10" s="636"/>
      <c r="AW10" s="636">
        <f t="shared" si="9"/>
        <v>0</v>
      </c>
      <c r="AX10" s="636"/>
      <c r="AY10" s="631"/>
      <c r="AZ10" s="631"/>
      <c r="BA10" s="631">
        <f aca="true" t="shared" si="46" ref="BA10:BA17">+AY10+AZ10</f>
        <v>0</v>
      </c>
      <c r="BB10" s="631"/>
      <c r="BC10" s="631">
        <f t="shared" si="35"/>
        <v>0</v>
      </c>
      <c r="BD10" s="631"/>
      <c r="BE10" s="632"/>
      <c r="BF10" s="636"/>
      <c r="BG10" s="636">
        <f t="shared" si="36"/>
        <v>0</v>
      </c>
      <c r="BH10" s="636"/>
      <c r="BI10" s="636">
        <f t="shared" si="10"/>
        <v>0</v>
      </c>
      <c r="BJ10" s="636"/>
      <c r="BK10" s="636">
        <f t="shared" si="11"/>
        <v>0</v>
      </c>
      <c r="BL10" s="636"/>
      <c r="BM10" s="636">
        <f t="shared" si="12"/>
        <v>0</v>
      </c>
      <c r="BN10" s="636">
        <f>+'[12]1. melléklet_BEVÉTEL_KIADÁS'!R11</f>
        <v>0</v>
      </c>
      <c r="BO10" s="631">
        <f>+'[5]2.sz.m.Bevételek'!K38</f>
        <v>0</v>
      </c>
      <c r="BP10" s="631"/>
      <c r="BQ10" s="631">
        <f aca="true" t="shared" si="47" ref="BQ10:BQ17">+BO10+BP10</f>
        <v>0</v>
      </c>
      <c r="BR10" s="631"/>
      <c r="BS10" s="631">
        <f>+BQ10+BR10</f>
        <v>0</v>
      </c>
      <c r="BT10" s="631">
        <f>+BR10+BS10</f>
        <v>0</v>
      </c>
      <c r="BU10" s="632"/>
      <c r="BV10" s="631"/>
      <c r="BW10" s="631">
        <f t="shared" si="37"/>
        <v>0</v>
      </c>
      <c r="BX10" s="636"/>
      <c r="BY10" s="636">
        <f t="shared" si="13"/>
        <v>0</v>
      </c>
      <c r="BZ10" s="636"/>
      <c r="CA10" s="636">
        <f t="shared" si="14"/>
        <v>0</v>
      </c>
      <c r="CB10" s="636"/>
      <c r="CC10" s="638">
        <f t="shared" si="15"/>
        <v>0</v>
      </c>
      <c r="CD10" s="636">
        <f>+'[13]1. melléklet_BEVÉTEL_KIADÁS'!R10</f>
        <v>0</v>
      </c>
      <c r="CE10" s="633">
        <f t="shared" si="16"/>
        <v>363531</v>
      </c>
      <c r="CF10" s="631">
        <f t="shared" si="17"/>
        <v>3047</v>
      </c>
      <c r="CG10" s="631">
        <f t="shared" si="18"/>
        <v>366578</v>
      </c>
      <c r="CH10" s="631" t="e">
        <f t="shared" si="19"/>
        <v>#REF!</v>
      </c>
      <c r="CI10" s="631">
        <f t="shared" si="20"/>
        <v>426927</v>
      </c>
      <c r="CJ10" s="631">
        <f t="shared" si="21"/>
        <v>252524</v>
      </c>
      <c r="CK10" s="632">
        <f t="shared" si="22"/>
        <v>0.5914922223237228</v>
      </c>
      <c r="CL10" s="631">
        <f t="shared" si="23"/>
        <v>0</v>
      </c>
      <c r="CM10" s="631">
        <f t="shared" si="24"/>
        <v>426927</v>
      </c>
      <c r="CN10" s="631">
        <f t="shared" si="25"/>
        <v>5825</v>
      </c>
      <c r="CO10" s="631">
        <f t="shared" si="26"/>
        <v>432752</v>
      </c>
      <c r="CP10" s="631">
        <f t="shared" si="27"/>
        <v>2696</v>
      </c>
      <c r="CQ10" s="631">
        <f t="shared" si="28"/>
        <v>435448</v>
      </c>
      <c r="CR10" s="631">
        <f t="shared" si="29"/>
        <v>18626</v>
      </c>
      <c r="CS10" s="631">
        <f t="shared" si="30"/>
        <v>454074</v>
      </c>
      <c r="CT10" s="636">
        <f t="shared" si="32"/>
        <v>344128</v>
      </c>
    </row>
    <row r="11" spans="1:98" ht="12.75">
      <c r="A11" s="634">
        <v>242</v>
      </c>
      <c r="B11" s="635" t="s">
        <v>456</v>
      </c>
      <c r="C11" s="636">
        <f>+'[1]2.sz.m.Bevételek'!$G$21</f>
        <v>66000</v>
      </c>
      <c r="D11" s="636"/>
      <c r="E11" s="636">
        <f t="shared" si="40"/>
        <v>66000</v>
      </c>
      <c r="F11" s="636" t="e">
        <f>+'[1]2.sz.m.Bevételek'!J21</f>
        <v>#REF!</v>
      </c>
      <c r="G11" s="636">
        <f>+'[1]2.sz.m.Bevételek'!K21</f>
        <v>66000</v>
      </c>
      <c r="H11" s="636">
        <f>+'[1]2.sz.m.Bevételek'!L21</f>
        <v>32426</v>
      </c>
      <c r="I11" s="637">
        <f t="shared" si="0"/>
        <v>0.4913030303030303</v>
      </c>
      <c r="J11" s="636"/>
      <c r="K11" s="636">
        <f t="shared" si="41"/>
        <v>66000</v>
      </c>
      <c r="L11" s="636">
        <v>-3000</v>
      </c>
      <c r="M11" s="636">
        <f t="shared" si="1"/>
        <v>63000</v>
      </c>
      <c r="N11" s="636"/>
      <c r="O11" s="636">
        <f t="shared" si="2"/>
        <v>63000</v>
      </c>
      <c r="P11" s="636">
        <f>+'[1]1A. melléklet_BEVÉTEL_KIADÁS'!Q10</f>
        <v>-2442</v>
      </c>
      <c r="Q11" s="636">
        <f t="shared" si="3"/>
        <v>60558</v>
      </c>
      <c r="R11" s="636">
        <f>+'1. melléklet_BEVÉTEL_KIADÁS'!S10</f>
        <v>24616</v>
      </c>
      <c r="S11" s="636"/>
      <c r="T11" s="636"/>
      <c r="U11" s="636">
        <f t="shared" si="42"/>
        <v>0</v>
      </c>
      <c r="V11" s="636"/>
      <c r="W11" s="636">
        <f t="shared" si="43"/>
        <v>0</v>
      </c>
      <c r="X11" s="636">
        <f>+'[6]1. melléklet_BEVÉTEL_KIADÁS'!I10</f>
        <v>0</v>
      </c>
      <c r="Y11" s="637"/>
      <c r="Z11" s="636"/>
      <c r="AA11" s="636">
        <f t="shared" si="33"/>
        <v>0</v>
      </c>
      <c r="AB11" s="636"/>
      <c r="AC11" s="636">
        <f t="shared" si="4"/>
        <v>0</v>
      </c>
      <c r="AD11" s="636"/>
      <c r="AE11" s="636">
        <f t="shared" si="5"/>
        <v>0</v>
      </c>
      <c r="AF11" s="636"/>
      <c r="AG11" s="636">
        <f t="shared" si="6"/>
        <v>0</v>
      </c>
      <c r="AH11" s="636">
        <f>+'[11]1. melléklet_BEVÉTEL_KIADÁS'!S10</f>
        <v>0</v>
      </c>
      <c r="AI11" s="636"/>
      <c r="AJ11" s="636"/>
      <c r="AK11" s="636">
        <f t="shared" si="44"/>
        <v>0</v>
      </c>
      <c r="AL11" s="636"/>
      <c r="AM11" s="636">
        <f t="shared" si="45"/>
        <v>0</v>
      </c>
      <c r="AN11" s="636"/>
      <c r="AO11" s="637"/>
      <c r="AP11" s="636"/>
      <c r="AQ11" s="636">
        <f t="shared" si="34"/>
        <v>0</v>
      </c>
      <c r="AR11" s="636"/>
      <c r="AS11" s="636">
        <f t="shared" si="7"/>
        <v>0</v>
      </c>
      <c r="AT11" s="636"/>
      <c r="AU11" s="636">
        <f t="shared" si="8"/>
        <v>0</v>
      </c>
      <c r="AV11" s="636"/>
      <c r="AW11" s="636">
        <f t="shared" si="9"/>
        <v>0</v>
      </c>
      <c r="AX11" s="636">
        <f>+'[10]1. melléklet_BEVÉTEL_KIADÁS'!R12</f>
        <v>0</v>
      </c>
      <c r="AY11" s="636"/>
      <c r="AZ11" s="636"/>
      <c r="BA11" s="636">
        <f t="shared" si="46"/>
        <v>0</v>
      </c>
      <c r="BB11" s="636"/>
      <c r="BC11" s="636">
        <f t="shared" si="35"/>
        <v>0</v>
      </c>
      <c r="BD11" s="636"/>
      <c r="BE11" s="637"/>
      <c r="BF11" s="636"/>
      <c r="BG11" s="636">
        <f t="shared" si="36"/>
        <v>0</v>
      </c>
      <c r="BH11" s="636"/>
      <c r="BI11" s="636">
        <f t="shared" si="10"/>
        <v>0</v>
      </c>
      <c r="BJ11" s="636"/>
      <c r="BK11" s="636">
        <f t="shared" si="11"/>
        <v>0</v>
      </c>
      <c r="BL11" s="636"/>
      <c r="BM11" s="636">
        <f t="shared" si="12"/>
        <v>0</v>
      </c>
      <c r="BN11" s="636">
        <f>+'[12]1. melléklet_BEVÉTEL_KIADÁS'!R12</f>
        <v>0</v>
      </c>
      <c r="BO11" s="636"/>
      <c r="BP11" s="636"/>
      <c r="BQ11" s="636">
        <f t="shared" si="47"/>
        <v>0</v>
      </c>
      <c r="BR11" s="636"/>
      <c r="BS11" s="636">
        <f>+BQ11+BR11</f>
        <v>0</v>
      </c>
      <c r="BT11" s="636">
        <f>+BR11+BS11</f>
        <v>0</v>
      </c>
      <c r="BU11" s="637"/>
      <c r="BV11" s="636"/>
      <c r="BW11" s="636">
        <f t="shared" si="37"/>
        <v>0</v>
      </c>
      <c r="BX11" s="636"/>
      <c r="BY11" s="636">
        <f t="shared" si="13"/>
        <v>0</v>
      </c>
      <c r="BZ11" s="636"/>
      <c r="CA11" s="636">
        <f t="shared" si="14"/>
        <v>0</v>
      </c>
      <c r="CB11" s="636"/>
      <c r="CC11" s="638">
        <f t="shared" si="15"/>
        <v>0</v>
      </c>
      <c r="CD11" s="636">
        <f>+'[13]1. melléklet_BEVÉTEL_KIADÁS'!R11</f>
        <v>0</v>
      </c>
      <c r="CE11" s="639">
        <f t="shared" si="16"/>
        <v>66000</v>
      </c>
      <c r="CF11" s="636">
        <f t="shared" si="17"/>
        <v>0</v>
      </c>
      <c r="CG11" s="636">
        <f t="shared" si="18"/>
        <v>66000</v>
      </c>
      <c r="CH11" s="636" t="e">
        <f t="shared" si="19"/>
        <v>#REF!</v>
      </c>
      <c r="CI11" s="636">
        <f t="shared" si="20"/>
        <v>66000</v>
      </c>
      <c r="CJ11" s="636">
        <f t="shared" si="21"/>
        <v>32426</v>
      </c>
      <c r="CK11" s="637">
        <f t="shared" si="22"/>
        <v>0.4913030303030303</v>
      </c>
      <c r="CL11" s="636">
        <f t="shared" si="23"/>
        <v>0</v>
      </c>
      <c r="CM11" s="636">
        <f t="shared" si="24"/>
        <v>66000</v>
      </c>
      <c r="CN11" s="636">
        <f t="shared" si="25"/>
        <v>-3000</v>
      </c>
      <c r="CO11" s="636">
        <f t="shared" si="26"/>
        <v>63000</v>
      </c>
      <c r="CP11" s="636">
        <f t="shared" si="27"/>
        <v>0</v>
      </c>
      <c r="CQ11" s="636">
        <f t="shared" si="28"/>
        <v>63000</v>
      </c>
      <c r="CR11" s="636">
        <f t="shared" si="29"/>
        <v>-2442</v>
      </c>
      <c r="CS11" s="636">
        <f t="shared" si="30"/>
        <v>60558</v>
      </c>
      <c r="CT11" s="636">
        <f t="shared" si="32"/>
        <v>24616</v>
      </c>
    </row>
    <row r="12" spans="1:98" ht="12.75">
      <c r="A12" s="640">
        <v>243</v>
      </c>
      <c r="B12" s="641" t="s">
        <v>173</v>
      </c>
      <c r="C12" s="636"/>
      <c r="D12" s="636"/>
      <c r="E12" s="636">
        <f t="shared" si="40"/>
        <v>0</v>
      </c>
      <c r="F12" s="636"/>
      <c r="G12" s="636"/>
      <c r="H12" s="636"/>
      <c r="I12" s="637"/>
      <c r="J12" s="636"/>
      <c r="K12" s="636">
        <f t="shared" si="41"/>
        <v>0</v>
      </c>
      <c r="L12" s="636"/>
      <c r="M12" s="636">
        <f t="shared" si="1"/>
        <v>0</v>
      </c>
      <c r="N12" s="636"/>
      <c r="O12" s="636">
        <f t="shared" si="2"/>
        <v>0</v>
      </c>
      <c r="P12" s="636"/>
      <c r="Q12" s="636">
        <f t="shared" si="3"/>
        <v>0</v>
      </c>
      <c r="R12" s="636">
        <f>+'1. melléklet_BEVÉTEL_KIADÁS'!S11</f>
        <v>0</v>
      </c>
      <c r="S12" s="636">
        <f>+'[2]2.sz.m.Bevételek'!G40+'[2]2.sz.m.Bevételek'!G39</f>
        <v>255625.23055364002</v>
      </c>
      <c r="T12" s="636">
        <f>-500+4607-30000+3000+600+3047+427</f>
        <v>-18819</v>
      </c>
      <c r="U12" s="636">
        <f t="shared" si="42"/>
        <v>236806.23055364002</v>
      </c>
      <c r="V12" s="636">
        <f>+'[6]1. melléklet_BEVÉTEL_KIADÁS'!$G$11</f>
        <v>3461</v>
      </c>
      <c r="W12" s="636">
        <f t="shared" si="43"/>
        <v>240267.23055364002</v>
      </c>
      <c r="X12" s="636">
        <f>+'[6]1. melléklet_BEVÉTEL_KIADÁS'!I9</f>
        <v>93100</v>
      </c>
      <c r="Y12" s="637">
        <f>+X12/W12</f>
        <v>0.38748521712874734</v>
      </c>
      <c r="Z12" s="636">
        <f>+'[6]1. melléklet_BEVÉTEL_KIADÁS'!$K$11</f>
        <v>-5895</v>
      </c>
      <c r="AA12" s="636">
        <f t="shared" si="33"/>
        <v>234372.23055364002</v>
      </c>
      <c r="AB12" s="636">
        <v>-24840</v>
      </c>
      <c r="AC12" s="636">
        <f t="shared" si="4"/>
        <v>209532.23055364002</v>
      </c>
      <c r="AD12" s="636">
        <f>6079-127</f>
        <v>5952</v>
      </c>
      <c r="AE12" s="636">
        <f t="shared" si="5"/>
        <v>215484.23055364002</v>
      </c>
      <c r="AF12" s="636">
        <v>-14275</v>
      </c>
      <c r="AG12" s="636">
        <f t="shared" si="6"/>
        <v>201209.23055364002</v>
      </c>
      <c r="AH12" s="636">
        <f>+'[11]1. melléklet_BEVÉTEL_KIADÁS'!S11++'[11]1. melléklet_BEVÉTEL_KIADÁS'!S9</f>
        <v>199019</v>
      </c>
      <c r="AI12" s="636">
        <f>108122+68279</f>
        <v>176401</v>
      </c>
      <c r="AJ12" s="636"/>
      <c r="AK12" s="636">
        <f t="shared" si="44"/>
        <v>176401</v>
      </c>
      <c r="AL12" s="636">
        <f>+'[7]1. melléklet_BEVÉTEL_KIADÁS'!$F$13-68</f>
        <v>2360</v>
      </c>
      <c r="AM12" s="636">
        <f t="shared" si="45"/>
        <v>178761</v>
      </c>
      <c r="AN12" s="636">
        <f>+'[7]1. melléklet_BEVÉTEL_KIADÁS'!$H$13++'[7]1. melléklet_BEVÉTEL_KIADÁS'!H11</f>
        <v>74754</v>
      </c>
      <c r="AO12" s="637">
        <f>+AN12/AM12</f>
        <v>0.4181784617450115</v>
      </c>
      <c r="AP12" s="636">
        <v>-4373</v>
      </c>
      <c r="AQ12" s="636">
        <f t="shared" si="34"/>
        <v>174388</v>
      </c>
      <c r="AR12" s="636">
        <v>1204</v>
      </c>
      <c r="AS12" s="636">
        <f t="shared" si="7"/>
        <v>175592</v>
      </c>
      <c r="AT12" s="636">
        <v>-938</v>
      </c>
      <c r="AU12" s="636">
        <f t="shared" si="8"/>
        <v>174654</v>
      </c>
      <c r="AV12" s="636">
        <v>-15589</v>
      </c>
      <c r="AW12" s="636">
        <f t="shared" si="9"/>
        <v>159065</v>
      </c>
      <c r="AX12" s="636">
        <f>+'[10]1. melléklet_BEVÉTEL_KIADÁS'!R13++'[10]1. melléklet_BEVÉTEL_KIADÁS'!R11</f>
        <v>158059</v>
      </c>
      <c r="AY12" s="636">
        <f>102512+77130</f>
        <v>179642</v>
      </c>
      <c r="AZ12" s="636">
        <f>23+130</f>
        <v>153</v>
      </c>
      <c r="BA12" s="636">
        <f t="shared" si="46"/>
        <v>179795</v>
      </c>
      <c r="BB12" s="636">
        <f>+'[8]1. melléklet_BEVÉTEL_KIADÁS'!$F$12-340</f>
        <v>2145</v>
      </c>
      <c r="BC12" s="636">
        <f t="shared" si="35"/>
        <v>181940</v>
      </c>
      <c r="BD12" s="636">
        <f>41755+39478</f>
        <v>81233</v>
      </c>
      <c r="BE12" s="637">
        <f>+BD12/BC12</f>
        <v>0.44648235682092996</v>
      </c>
      <c r="BF12" s="636">
        <v>-3697</v>
      </c>
      <c r="BG12" s="636">
        <f t="shared" si="36"/>
        <v>178243</v>
      </c>
      <c r="BH12" s="636">
        <v>4252</v>
      </c>
      <c r="BI12" s="636">
        <f t="shared" si="10"/>
        <v>182495</v>
      </c>
      <c r="BJ12" s="636">
        <v>3161</v>
      </c>
      <c r="BK12" s="636">
        <f t="shared" si="11"/>
        <v>185656</v>
      </c>
      <c r="BL12" s="636">
        <v>-13398</v>
      </c>
      <c r="BM12" s="636">
        <f t="shared" si="12"/>
        <v>172258</v>
      </c>
      <c r="BN12" s="636">
        <f>+'[12]1. melléklet_BEVÉTEL_KIADÁS'!R13</f>
        <v>168553</v>
      </c>
      <c r="BO12" s="636">
        <f>+'[5]2.sz.m.Bevételek'!$G$40</f>
        <v>26016</v>
      </c>
      <c r="BP12" s="636">
        <v>208</v>
      </c>
      <c r="BQ12" s="636">
        <f t="shared" si="47"/>
        <v>26224</v>
      </c>
      <c r="BR12" s="636">
        <v>787</v>
      </c>
      <c r="BS12" s="636">
        <f aca="true" t="shared" si="48" ref="BS12:BS17">+BQ12+BR12</f>
        <v>27011</v>
      </c>
      <c r="BT12" s="636">
        <v>10208</v>
      </c>
      <c r="BU12" s="637">
        <f>+BT12/BS12</f>
        <v>0.37792010662322756</v>
      </c>
      <c r="BV12" s="636">
        <v>-411</v>
      </c>
      <c r="BW12" s="636">
        <f t="shared" si="37"/>
        <v>26600</v>
      </c>
      <c r="BX12" s="636">
        <v>1725</v>
      </c>
      <c r="BY12" s="636">
        <f t="shared" si="13"/>
        <v>28325</v>
      </c>
      <c r="BZ12" s="636">
        <v>68</v>
      </c>
      <c r="CA12" s="636">
        <f t="shared" si="14"/>
        <v>28393</v>
      </c>
      <c r="CB12" s="636">
        <v>-2136</v>
      </c>
      <c r="CC12" s="638">
        <f t="shared" si="15"/>
        <v>26257</v>
      </c>
      <c r="CD12" s="636">
        <f>+'[13]1. melléklet_BEVÉTEL_KIADÁS'!R12</f>
        <v>25773</v>
      </c>
      <c r="CE12" s="639">
        <f t="shared" si="16"/>
        <v>637684.23055364</v>
      </c>
      <c r="CF12" s="636">
        <f t="shared" si="17"/>
        <v>-18458</v>
      </c>
      <c r="CG12" s="636">
        <f t="shared" si="18"/>
        <v>619226.23055364</v>
      </c>
      <c r="CH12" s="636">
        <f t="shared" si="19"/>
        <v>8753</v>
      </c>
      <c r="CI12" s="636">
        <f t="shared" si="20"/>
        <v>627979.23055364</v>
      </c>
      <c r="CJ12" s="636">
        <f t="shared" si="21"/>
        <v>259295</v>
      </c>
      <c r="CK12" s="637">
        <f t="shared" si="22"/>
        <v>0.4129037830939089</v>
      </c>
      <c r="CL12" s="636">
        <f t="shared" si="23"/>
        <v>-14376</v>
      </c>
      <c r="CM12" s="636">
        <f t="shared" si="24"/>
        <v>613603.23055364</v>
      </c>
      <c r="CN12" s="636">
        <f t="shared" si="25"/>
        <v>-17659</v>
      </c>
      <c r="CO12" s="636">
        <f t="shared" si="26"/>
        <v>595944.23055364</v>
      </c>
      <c r="CP12" s="636">
        <f t="shared" si="27"/>
        <v>8243</v>
      </c>
      <c r="CQ12" s="636">
        <f t="shared" si="28"/>
        <v>604187.23055364</v>
      </c>
      <c r="CR12" s="636">
        <f t="shared" si="29"/>
        <v>-45398</v>
      </c>
      <c r="CS12" s="636">
        <f t="shared" si="30"/>
        <v>558789.23055364</v>
      </c>
      <c r="CT12" s="636">
        <f>+R12+AH12+AX12+BN12+CD12</f>
        <v>551404</v>
      </c>
    </row>
    <row r="13" spans="1:98" ht="12.75">
      <c r="A13" s="634">
        <v>244</v>
      </c>
      <c r="B13" s="635" t="s">
        <v>174</v>
      </c>
      <c r="C13" s="636">
        <f>+'[1]2.sz.m.Bevételek'!G37</f>
        <v>14480</v>
      </c>
      <c r="D13" s="636"/>
      <c r="E13" s="636">
        <f t="shared" si="40"/>
        <v>14480</v>
      </c>
      <c r="F13" s="636">
        <f>+'[1]2.sz.m.Bevételek'!J37</f>
        <v>0</v>
      </c>
      <c r="G13" s="636">
        <f>+'[1]2.sz.m.Bevételek'!K37</f>
        <v>14480</v>
      </c>
      <c r="H13" s="636">
        <f>+'[1]2.sz.m.Bevételek'!L37</f>
        <v>11061</v>
      </c>
      <c r="I13" s="637">
        <f>+H13/G13</f>
        <v>0.7638812154696133</v>
      </c>
      <c r="J13" s="636"/>
      <c r="K13" s="636">
        <f t="shared" si="41"/>
        <v>14480</v>
      </c>
      <c r="L13" s="636">
        <v>5268</v>
      </c>
      <c r="M13" s="636">
        <f t="shared" si="1"/>
        <v>19748</v>
      </c>
      <c r="N13" s="636"/>
      <c r="O13" s="636">
        <f t="shared" si="2"/>
        <v>19748</v>
      </c>
      <c r="P13" s="636">
        <f>+'[1]1A. melléklet_BEVÉTEL_KIADÁS'!Q12-534</f>
        <v>-1792</v>
      </c>
      <c r="Q13" s="636">
        <f t="shared" si="3"/>
        <v>17956</v>
      </c>
      <c r="R13" s="636">
        <f>+'1. melléklet_BEVÉTEL_KIADÁS'!S12</f>
        <v>3762</v>
      </c>
      <c r="S13" s="636"/>
      <c r="T13" s="636"/>
      <c r="U13" s="636">
        <f t="shared" si="42"/>
        <v>0</v>
      </c>
      <c r="V13" s="636"/>
      <c r="W13" s="636">
        <f t="shared" si="43"/>
        <v>0</v>
      </c>
      <c r="X13" s="636">
        <f>+'[6]1. melléklet_BEVÉTEL_KIADÁS'!I12</f>
        <v>76</v>
      </c>
      <c r="Y13" s="637"/>
      <c r="Z13" s="636"/>
      <c r="AA13" s="636">
        <f>+U13+Z13</f>
        <v>0</v>
      </c>
      <c r="AB13" s="636"/>
      <c r="AC13" s="636">
        <f t="shared" si="4"/>
        <v>0</v>
      </c>
      <c r="AD13" s="636"/>
      <c r="AE13" s="636">
        <f t="shared" si="5"/>
        <v>0</v>
      </c>
      <c r="AF13" s="636">
        <v>76</v>
      </c>
      <c r="AG13" s="636">
        <f t="shared" si="6"/>
        <v>76</v>
      </c>
      <c r="AH13" s="636">
        <f>+'[11]1. melléklet_BEVÉTEL_KIADÁS'!S12</f>
        <v>76</v>
      </c>
      <c r="AI13" s="636"/>
      <c r="AJ13" s="636"/>
      <c r="AK13" s="636">
        <f t="shared" si="44"/>
        <v>0</v>
      </c>
      <c r="AL13" s="636"/>
      <c r="AM13" s="636">
        <f t="shared" si="45"/>
        <v>0</v>
      </c>
      <c r="AN13" s="636"/>
      <c r="AO13" s="637"/>
      <c r="AP13" s="636"/>
      <c r="AQ13" s="636">
        <f t="shared" si="34"/>
        <v>0</v>
      </c>
      <c r="AR13" s="636"/>
      <c r="AS13" s="636">
        <f t="shared" si="7"/>
        <v>0</v>
      </c>
      <c r="AT13" s="636"/>
      <c r="AU13" s="636">
        <f t="shared" si="8"/>
        <v>0</v>
      </c>
      <c r="AV13" s="636"/>
      <c r="AW13" s="636">
        <f t="shared" si="9"/>
        <v>0</v>
      </c>
      <c r="AX13" s="636"/>
      <c r="AY13" s="636"/>
      <c r="AZ13" s="636"/>
      <c r="BA13" s="636">
        <f t="shared" si="46"/>
        <v>0</v>
      </c>
      <c r="BB13" s="636"/>
      <c r="BC13" s="636">
        <f t="shared" si="35"/>
        <v>0</v>
      </c>
      <c r="BD13" s="636"/>
      <c r="BE13" s="637"/>
      <c r="BF13" s="636">
        <v>120</v>
      </c>
      <c r="BG13" s="636">
        <f t="shared" si="36"/>
        <v>120</v>
      </c>
      <c r="BH13" s="636"/>
      <c r="BI13" s="636">
        <f t="shared" si="10"/>
        <v>120</v>
      </c>
      <c r="BJ13" s="636"/>
      <c r="BK13" s="636">
        <f t="shared" si="11"/>
        <v>120</v>
      </c>
      <c r="BL13" s="636"/>
      <c r="BM13" s="636">
        <f t="shared" si="12"/>
        <v>120</v>
      </c>
      <c r="BN13" s="636"/>
      <c r="BO13" s="636">
        <f>+'[5]2.sz.m.Bevételek'!$G$41</f>
        <v>0</v>
      </c>
      <c r="BP13" s="636"/>
      <c r="BQ13" s="636">
        <f t="shared" si="47"/>
        <v>0</v>
      </c>
      <c r="BR13" s="636"/>
      <c r="BS13" s="636">
        <f t="shared" si="48"/>
        <v>0</v>
      </c>
      <c r="BT13" s="636">
        <f>+BR13+BS13</f>
        <v>0</v>
      </c>
      <c r="BU13" s="637"/>
      <c r="BV13" s="636"/>
      <c r="BW13" s="636">
        <f t="shared" si="37"/>
        <v>0</v>
      </c>
      <c r="BX13" s="636"/>
      <c r="BY13" s="636">
        <f t="shared" si="13"/>
        <v>0</v>
      </c>
      <c r="BZ13" s="636"/>
      <c r="CA13" s="636">
        <f t="shared" si="14"/>
        <v>0</v>
      </c>
      <c r="CB13" s="636"/>
      <c r="CC13" s="638">
        <f t="shared" si="15"/>
        <v>0</v>
      </c>
      <c r="CD13" s="636"/>
      <c r="CE13" s="639">
        <f t="shared" si="16"/>
        <v>14480</v>
      </c>
      <c r="CF13" s="636">
        <f t="shared" si="17"/>
        <v>0</v>
      </c>
      <c r="CG13" s="636">
        <f t="shared" si="18"/>
        <v>14480</v>
      </c>
      <c r="CH13" s="636">
        <f t="shared" si="19"/>
        <v>0</v>
      </c>
      <c r="CI13" s="636">
        <f t="shared" si="20"/>
        <v>14480</v>
      </c>
      <c r="CJ13" s="636">
        <f t="shared" si="21"/>
        <v>11137</v>
      </c>
      <c r="CK13" s="637">
        <f t="shared" si="22"/>
        <v>0.7691298342541436</v>
      </c>
      <c r="CL13" s="636">
        <f t="shared" si="23"/>
        <v>120</v>
      </c>
      <c r="CM13" s="636">
        <f t="shared" si="24"/>
        <v>14600</v>
      </c>
      <c r="CN13" s="636">
        <f t="shared" si="25"/>
        <v>5268</v>
      </c>
      <c r="CO13" s="636">
        <f t="shared" si="26"/>
        <v>19868</v>
      </c>
      <c r="CP13" s="636">
        <f t="shared" si="27"/>
        <v>0</v>
      </c>
      <c r="CQ13" s="636">
        <f t="shared" si="28"/>
        <v>19868</v>
      </c>
      <c r="CR13" s="636">
        <f t="shared" si="29"/>
        <v>-1716</v>
      </c>
      <c r="CS13" s="636">
        <f t="shared" si="30"/>
        <v>18152</v>
      </c>
      <c r="CT13" s="636">
        <f t="shared" si="32"/>
        <v>3838</v>
      </c>
    </row>
    <row r="14" spans="1:98" ht="12.75">
      <c r="A14" s="634">
        <v>245</v>
      </c>
      <c r="B14" s="635" t="s">
        <v>175</v>
      </c>
      <c r="C14" s="636"/>
      <c r="D14" s="636"/>
      <c r="E14" s="636">
        <f t="shared" si="40"/>
        <v>0</v>
      </c>
      <c r="F14" s="636"/>
      <c r="G14" s="636"/>
      <c r="H14" s="636"/>
      <c r="I14" s="637"/>
      <c r="J14" s="636"/>
      <c r="K14" s="636">
        <f t="shared" si="41"/>
        <v>0</v>
      </c>
      <c r="L14" s="636"/>
      <c r="M14" s="636">
        <f t="shared" si="1"/>
        <v>0</v>
      </c>
      <c r="N14" s="636"/>
      <c r="O14" s="636">
        <f t="shared" si="2"/>
        <v>0</v>
      </c>
      <c r="P14" s="636"/>
      <c r="Q14" s="636">
        <f t="shared" si="3"/>
        <v>0</v>
      </c>
      <c r="R14" s="636">
        <f>+'1. melléklet_BEVÉTEL_KIADÁS'!S13</f>
        <v>0</v>
      </c>
      <c r="S14" s="636"/>
      <c r="T14" s="636"/>
      <c r="U14" s="636">
        <f t="shared" si="42"/>
        <v>0</v>
      </c>
      <c r="V14" s="636"/>
      <c r="W14" s="636">
        <f t="shared" si="43"/>
        <v>0</v>
      </c>
      <c r="X14" s="636">
        <f>+'[6]1. melléklet_BEVÉTEL_KIADÁS'!I13</f>
        <v>0</v>
      </c>
      <c r="Y14" s="637"/>
      <c r="Z14" s="636"/>
      <c r="AA14" s="636">
        <f>+U14+Z14</f>
        <v>0</v>
      </c>
      <c r="AB14" s="636"/>
      <c r="AC14" s="636">
        <f t="shared" si="4"/>
        <v>0</v>
      </c>
      <c r="AD14" s="636"/>
      <c r="AE14" s="636">
        <f t="shared" si="5"/>
        <v>0</v>
      </c>
      <c r="AF14" s="636"/>
      <c r="AG14" s="636">
        <f t="shared" si="6"/>
        <v>0</v>
      </c>
      <c r="AH14" s="636"/>
      <c r="AI14" s="636"/>
      <c r="AJ14" s="636"/>
      <c r="AK14" s="636">
        <f t="shared" si="44"/>
        <v>0</v>
      </c>
      <c r="AL14" s="636"/>
      <c r="AM14" s="636">
        <f t="shared" si="45"/>
        <v>0</v>
      </c>
      <c r="AN14" s="636"/>
      <c r="AO14" s="637"/>
      <c r="AP14" s="636"/>
      <c r="AQ14" s="636">
        <f t="shared" si="34"/>
        <v>0</v>
      </c>
      <c r="AR14" s="636"/>
      <c r="AS14" s="636">
        <f t="shared" si="7"/>
        <v>0</v>
      </c>
      <c r="AT14" s="636"/>
      <c r="AU14" s="636">
        <f t="shared" si="8"/>
        <v>0</v>
      </c>
      <c r="AV14" s="636"/>
      <c r="AW14" s="636">
        <f t="shared" si="9"/>
        <v>0</v>
      </c>
      <c r="AX14" s="636"/>
      <c r="AY14" s="636"/>
      <c r="AZ14" s="636"/>
      <c r="BA14" s="636">
        <f t="shared" si="46"/>
        <v>0</v>
      </c>
      <c r="BB14" s="636"/>
      <c r="BC14" s="636">
        <f t="shared" si="35"/>
        <v>0</v>
      </c>
      <c r="BD14" s="636"/>
      <c r="BE14" s="637"/>
      <c r="BF14" s="636"/>
      <c r="BG14" s="636">
        <f t="shared" si="36"/>
        <v>0</v>
      </c>
      <c r="BH14" s="636"/>
      <c r="BI14" s="636">
        <f t="shared" si="10"/>
        <v>0</v>
      </c>
      <c r="BJ14" s="636"/>
      <c r="BK14" s="636">
        <f t="shared" si="11"/>
        <v>0</v>
      </c>
      <c r="BL14" s="636"/>
      <c r="BM14" s="636">
        <f t="shared" si="12"/>
        <v>0</v>
      </c>
      <c r="BN14" s="636"/>
      <c r="BO14" s="636"/>
      <c r="BP14" s="636"/>
      <c r="BQ14" s="636">
        <f t="shared" si="47"/>
        <v>0</v>
      </c>
      <c r="BR14" s="636"/>
      <c r="BS14" s="636">
        <f t="shared" si="48"/>
        <v>0</v>
      </c>
      <c r="BT14" s="636">
        <f>+BR14+BS14</f>
        <v>0</v>
      </c>
      <c r="BU14" s="637"/>
      <c r="BV14" s="636"/>
      <c r="BW14" s="636">
        <f t="shared" si="37"/>
        <v>0</v>
      </c>
      <c r="BX14" s="636"/>
      <c r="BY14" s="636">
        <f t="shared" si="13"/>
        <v>0</v>
      </c>
      <c r="BZ14" s="636"/>
      <c r="CA14" s="636">
        <f t="shared" si="14"/>
        <v>0</v>
      </c>
      <c r="CB14" s="636"/>
      <c r="CC14" s="638">
        <f t="shared" si="15"/>
        <v>0</v>
      </c>
      <c r="CD14" s="636"/>
      <c r="CE14" s="639">
        <f t="shared" si="16"/>
        <v>0</v>
      </c>
      <c r="CF14" s="636">
        <f t="shared" si="17"/>
        <v>0</v>
      </c>
      <c r="CG14" s="636">
        <f t="shared" si="18"/>
        <v>0</v>
      </c>
      <c r="CH14" s="636">
        <f t="shared" si="19"/>
        <v>0</v>
      </c>
      <c r="CI14" s="636">
        <f t="shared" si="20"/>
        <v>0</v>
      </c>
      <c r="CJ14" s="636">
        <f t="shared" si="21"/>
        <v>0</v>
      </c>
      <c r="CK14" s="637"/>
      <c r="CL14" s="636">
        <f t="shared" si="23"/>
        <v>0</v>
      </c>
      <c r="CM14" s="636">
        <f t="shared" si="24"/>
        <v>0</v>
      </c>
      <c r="CN14" s="636">
        <f t="shared" si="25"/>
        <v>0</v>
      </c>
      <c r="CO14" s="636">
        <f t="shared" si="26"/>
        <v>0</v>
      </c>
      <c r="CP14" s="636">
        <f t="shared" si="27"/>
        <v>0</v>
      </c>
      <c r="CQ14" s="636">
        <f t="shared" si="28"/>
        <v>0</v>
      </c>
      <c r="CR14" s="636">
        <f t="shared" si="29"/>
        <v>0</v>
      </c>
      <c r="CS14" s="636">
        <f t="shared" si="30"/>
        <v>0</v>
      </c>
      <c r="CT14" s="636">
        <f t="shared" si="32"/>
        <v>0</v>
      </c>
    </row>
    <row r="15" spans="1:98" ht="12.75">
      <c r="A15" s="642">
        <v>246</v>
      </c>
      <c r="B15" s="635" t="s">
        <v>176</v>
      </c>
      <c r="C15" s="643">
        <f>+'[1]2.sz.m.Bevételek'!G52</f>
        <v>126654</v>
      </c>
      <c r="D15" s="643"/>
      <c r="E15" s="643">
        <f t="shared" si="40"/>
        <v>126654</v>
      </c>
      <c r="F15" s="643">
        <f>+'[1]2.sz.m.Bevételek'!J52</f>
        <v>0</v>
      </c>
      <c r="G15" s="643">
        <f>+'[1]2.sz.m.Bevételek'!K52</f>
        <v>126654</v>
      </c>
      <c r="H15" s="643">
        <f>+'[1]2.sz.m.Bevételek'!L52</f>
        <v>93142</v>
      </c>
      <c r="I15" s="644">
        <f>+H15/G15</f>
        <v>0.7354051194593143</v>
      </c>
      <c r="J15" s="643">
        <v>227085</v>
      </c>
      <c r="K15" s="643">
        <f t="shared" si="41"/>
        <v>353739</v>
      </c>
      <c r="L15" s="643"/>
      <c r="M15" s="643">
        <f t="shared" si="1"/>
        <v>353739</v>
      </c>
      <c r="N15" s="643">
        <v>-257951</v>
      </c>
      <c r="O15" s="643">
        <f t="shared" si="2"/>
        <v>95788</v>
      </c>
      <c r="P15" s="643">
        <f>+'[1]1A. melléklet_BEVÉTEL_KIADÁS'!Q14</f>
        <v>7216</v>
      </c>
      <c r="Q15" s="643">
        <f t="shared" si="3"/>
        <v>103004</v>
      </c>
      <c r="R15" s="643">
        <f>+'1. melléklet_BEVÉTEL_KIADÁS'!S14</f>
        <v>0</v>
      </c>
      <c r="S15" s="643"/>
      <c r="T15" s="643"/>
      <c r="U15" s="643">
        <f t="shared" si="42"/>
        <v>0</v>
      </c>
      <c r="V15" s="643"/>
      <c r="W15" s="643">
        <f t="shared" si="43"/>
        <v>0</v>
      </c>
      <c r="X15" s="643">
        <f>+'[6]1. melléklet_BEVÉTEL_KIADÁS'!I14</f>
        <v>0</v>
      </c>
      <c r="Y15" s="644"/>
      <c r="Z15" s="643"/>
      <c r="AA15" s="643">
        <f>+U15+Z15</f>
        <v>0</v>
      </c>
      <c r="AB15" s="643"/>
      <c r="AC15" s="643">
        <f t="shared" si="4"/>
        <v>0</v>
      </c>
      <c r="AD15" s="643"/>
      <c r="AE15" s="643">
        <f t="shared" si="5"/>
        <v>0</v>
      </c>
      <c r="AF15" s="643"/>
      <c r="AG15" s="643">
        <f t="shared" si="6"/>
        <v>0</v>
      </c>
      <c r="AH15" s="643"/>
      <c r="AI15" s="643"/>
      <c r="AJ15" s="643"/>
      <c r="AK15" s="643">
        <f t="shared" si="44"/>
        <v>0</v>
      </c>
      <c r="AL15" s="643"/>
      <c r="AM15" s="643">
        <f t="shared" si="45"/>
        <v>0</v>
      </c>
      <c r="AN15" s="643"/>
      <c r="AO15" s="644"/>
      <c r="AP15" s="643"/>
      <c r="AQ15" s="643">
        <f t="shared" si="34"/>
        <v>0</v>
      </c>
      <c r="AR15" s="643"/>
      <c r="AS15" s="643">
        <f t="shared" si="7"/>
        <v>0</v>
      </c>
      <c r="AT15" s="643"/>
      <c r="AU15" s="643">
        <f t="shared" si="8"/>
        <v>0</v>
      </c>
      <c r="AV15" s="643"/>
      <c r="AW15" s="643">
        <f t="shared" si="9"/>
        <v>0</v>
      </c>
      <c r="AX15" s="643"/>
      <c r="AY15" s="643"/>
      <c r="AZ15" s="643"/>
      <c r="BA15" s="643">
        <f t="shared" si="46"/>
        <v>0</v>
      </c>
      <c r="BB15" s="643"/>
      <c r="BC15" s="643">
        <f t="shared" si="35"/>
        <v>0</v>
      </c>
      <c r="BD15" s="643"/>
      <c r="BE15" s="644"/>
      <c r="BF15" s="643"/>
      <c r="BG15" s="643">
        <f t="shared" si="36"/>
        <v>0</v>
      </c>
      <c r="BH15" s="643"/>
      <c r="BI15" s="643">
        <f t="shared" si="10"/>
        <v>0</v>
      </c>
      <c r="BJ15" s="643"/>
      <c r="BK15" s="643">
        <f t="shared" si="11"/>
        <v>0</v>
      </c>
      <c r="BL15" s="643"/>
      <c r="BM15" s="643">
        <f t="shared" si="12"/>
        <v>0</v>
      </c>
      <c r="BN15" s="643"/>
      <c r="BO15" s="643"/>
      <c r="BP15" s="643"/>
      <c r="BQ15" s="643">
        <f t="shared" si="47"/>
        <v>0</v>
      </c>
      <c r="BR15" s="643"/>
      <c r="BS15" s="643">
        <f t="shared" si="48"/>
        <v>0</v>
      </c>
      <c r="BT15" s="643">
        <f>+BR15+BS15</f>
        <v>0</v>
      </c>
      <c r="BU15" s="644"/>
      <c r="BV15" s="643"/>
      <c r="BW15" s="643">
        <f t="shared" si="37"/>
        <v>0</v>
      </c>
      <c r="BX15" s="643"/>
      <c r="BY15" s="643">
        <f t="shared" si="13"/>
        <v>0</v>
      </c>
      <c r="BZ15" s="643"/>
      <c r="CA15" s="643">
        <f t="shared" si="14"/>
        <v>0</v>
      </c>
      <c r="CB15" s="643"/>
      <c r="CC15" s="641">
        <f t="shared" si="15"/>
        <v>0</v>
      </c>
      <c r="CD15" s="643"/>
      <c r="CE15" s="645">
        <f t="shared" si="16"/>
        <v>126654</v>
      </c>
      <c r="CF15" s="643">
        <f t="shared" si="17"/>
        <v>0</v>
      </c>
      <c r="CG15" s="643">
        <f t="shared" si="18"/>
        <v>126654</v>
      </c>
      <c r="CH15" s="643">
        <f t="shared" si="19"/>
        <v>0</v>
      </c>
      <c r="CI15" s="643">
        <f t="shared" si="20"/>
        <v>126654</v>
      </c>
      <c r="CJ15" s="643">
        <f t="shared" si="21"/>
        <v>93142</v>
      </c>
      <c r="CK15" s="644">
        <f>+CJ15/CI15</f>
        <v>0.7354051194593143</v>
      </c>
      <c r="CL15" s="643">
        <f t="shared" si="23"/>
        <v>227085</v>
      </c>
      <c r="CM15" s="643">
        <f t="shared" si="24"/>
        <v>353739</v>
      </c>
      <c r="CN15" s="643">
        <f t="shared" si="25"/>
        <v>0</v>
      </c>
      <c r="CO15" s="643">
        <f t="shared" si="26"/>
        <v>353739</v>
      </c>
      <c r="CP15" s="643">
        <f t="shared" si="27"/>
        <v>-257951</v>
      </c>
      <c r="CQ15" s="643">
        <f t="shared" si="28"/>
        <v>95788</v>
      </c>
      <c r="CR15" s="643">
        <f t="shared" si="29"/>
        <v>7216</v>
      </c>
      <c r="CS15" s="643">
        <f t="shared" si="30"/>
        <v>103004</v>
      </c>
      <c r="CT15" s="643">
        <f t="shared" si="32"/>
        <v>0</v>
      </c>
    </row>
    <row r="16" spans="1:98" ht="12.75">
      <c r="A16" s="642">
        <v>25</v>
      </c>
      <c r="B16" s="635" t="s">
        <v>177</v>
      </c>
      <c r="C16" s="643">
        <f>+'[1]2.sz.m.Bevételek'!G51</f>
        <v>60341</v>
      </c>
      <c r="D16" s="643"/>
      <c r="E16" s="643">
        <f t="shared" si="40"/>
        <v>60341</v>
      </c>
      <c r="F16" s="643" t="e">
        <f>+'[1]2.sz.m.Bevételek'!J51</f>
        <v>#REF!</v>
      </c>
      <c r="G16" s="643">
        <f>+'[1]2.sz.m.Bevételek'!K51</f>
        <v>60341</v>
      </c>
      <c r="H16" s="643">
        <f>+'[1]2.sz.m.Bevételek'!L51</f>
        <v>28611</v>
      </c>
      <c r="I16" s="644">
        <f>+H16/G16</f>
        <v>0.47415521784524617</v>
      </c>
      <c r="J16" s="643">
        <v>28039</v>
      </c>
      <c r="K16" s="643">
        <f t="shared" si="41"/>
        <v>88380</v>
      </c>
      <c r="L16" s="643"/>
      <c r="M16" s="643">
        <f t="shared" si="1"/>
        <v>88380</v>
      </c>
      <c r="N16" s="643"/>
      <c r="O16" s="643">
        <f t="shared" si="2"/>
        <v>88380</v>
      </c>
      <c r="P16" s="643">
        <f>+'[1]1A. melléklet_BEVÉTEL_KIADÁS'!Q15</f>
        <v>-39484</v>
      </c>
      <c r="Q16" s="643">
        <f t="shared" si="3"/>
        <v>48896</v>
      </c>
      <c r="R16" s="643">
        <f>+'1. melléklet_BEVÉTEL_KIADÁS'!S15</f>
        <v>26961</v>
      </c>
      <c r="S16" s="643"/>
      <c r="T16" s="643"/>
      <c r="U16" s="643">
        <f t="shared" si="42"/>
        <v>0</v>
      </c>
      <c r="V16" s="643"/>
      <c r="W16" s="643">
        <f t="shared" si="43"/>
        <v>0</v>
      </c>
      <c r="X16" s="643">
        <f>+'[6]1. melléklet_BEVÉTEL_KIADÁS'!I15</f>
        <v>0</v>
      </c>
      <c r="Y16" s="644"/>
      <c r="Z16" s="643"/>
      <c r="AA16" s="643">
        <f>+U16+Z16</f>
        <v>0</v>
      </c>
      <c r="AB16" s="643"/>
      <c r="AC16" s="643">
        <f t="shared" si="4"/>
        <v>0</v>
      </c>
      <c r="AD16" s="643"/>
      <c r="AE16" s="643">
        <f t="shared" si="5"/>
        <v>0</v>
      </c>
      <c r="AF16" s="643"/>
      <c r="AG16" s="643">
        <f t="shared" si="6"/>
        <v>0</v>
      </c>
      <c r="AH16" s="643"/>
      <c r="AI16" s="643"/>
      <c r="AJ16" s="643"/>
      <c r="AK16" s="643">
        <f t="shared" si="44"/>
        <v>0</v>
      </c>
      <c r="AL16" s="643"/>
      <c r="AM16" s="643">
        <f t="shared" si="45"/>
        <v>0</v>
      </c>
      <c r="AN16" s="643"/>
      <c r="AO16" s="644"/>
      <c r="AP16" s="643"/>
      <c r="AQ16" s="643">
        <f t="shared" si="34"/>
        <v>0</v>
      </c>
      <c r="AR16" s="643"/>
      <c r="AS16" s="643">
        <f t="shared" si="7"/>
        <v>0</v>
      </c>
      <c r="AT16" s="643"/>
      <c r="AU16" s="643">
        <f t="shared" si="8"/>
        <v>0</v>
      </c>
      <c r="AV16" s="643"/>
      <c r="AW16" s="643">
        <f t="shared" si="9"/>
        <v>0</v>
      </c>
      <c r="AX16" s="643"/>
      <c r="AY16" s="643"/>
      <c r="AZ16" s="643"/>
      <c r="BA16" s="643">
        <f t="shared" si="46"/>
        <v>0</v>
      </c>
      <c r="BB16" s="643"/>
      <c r="BC16" s="643">
        <f t="shared" si="35"/>
        <v>0</v>
      </c>
      <c r="BD16" s="643"/>
      <c r="BE16" s="644"/>
      <c r="BF16" s="643"/>
      <c r="BG16" s="643">
        <f t="shared" si="36"/>
        <v>0</v>
      </c>
      <c r="BH16" s="643"/>
      <c r="BI16" s="643">
        <f t="shared" si="10"/>
        <v>0</v>
      </c>
      <c r="BJ16" s="643"/>
      <c r="BK16" s="643">
        <f t="shared" si="11"/>
        <v>0</v>
      </c>
      <c r="BL16" s="643"/>
      <c r="BM16" s="643">
        <f t="shared" si="12"/>
        <v>0</v>
      </c>
      <c r="BN16" s="643"/>
      <c r="BO16" s="643"/>
      <c r="BP16" s="643"/>
      <c r="BQ16" s="643">
        <f t="shared" si="47"/>
        <v>0</v>
      </c>
      <c r="BR16" s="643"/>
      <c r="BS16" s="643">
        <f t="shared" si="48"/>
        <v>0</v>
      </c>
      <c r="BT16" s="643">
        <f>+BR16+BS16</f>
        <v>0</v>
      </c>
      <c r="BU16" s="644"/>
      <c r="BV16" s="643"/>
      <c r="BW16" s="643">
        <f t="shared" si="37"/>
        <v>0</v>
      </c>
      <c r="BX16" s="643"/>
      <c r="BY16" s="643">
        <f t="shared" si="13"/>
        <v>0</v>
      </c>
      <c r="BZ16" s="643"/>
      <c r="CA16" s="643">
        <f t="shared" si="14"/>
        <v>0</v>
      </c>
      <c r="CB16" s="643"/>
      <c r="CC16" s="641">
        <f t="shared" si="15"/>
        <v>0</v>
      </c>
      <c r="CD16" s="643"/>
      <c r="CE16" s="645">
        <f t="shared" si="16"/>
        <v>60341</v>
      </c>
      <c r="CF16" s="643">
        <f t="shared" si="17"/>
        <v>0</v>
      </c>
      <c r="CG16" s="643">
        <f t="shared" si="18"/>
        <v>60341</v>
      </c>
      <c r="CH16" s="643" t="e">
        <f t="shared" si="19"/>
        <v>#REF!</v>
      </c>
      <c r="CI16" s="643">
        <f t="shared" si="20"/>
        <v>60341</v>
      </c>
      <c r="CJ16" s="643">
        <f t="shared" si="21"/>
        <v>28611</v>
      </c>
      <c r="CK16" s="644">
        <f>+CJ16/CI16</f>
        <v>0.47415521784524617</v>
      </c>
      <c r="CL16" s="643">
        <f t="shared" si="23"/>
        <v>28039</v>
      </c>
      <c r="CM16" s="643">
        <f t="shared" si="24"/>
        <v>88380</v>
      </c>
      <c r="CN16" s="643">
        <f t="shared" si="25"/>
        <v>0</v>
      </c>
      <c r="CO16" s="643">
        <f t="shared" si="26"/>
        <v>88380</v>
      </c>
      <c r="CP16" s="643">
        <f t="shared" si="27"/>
        <v>0</v>
      </c>
      <c r="CQ16" s="643">
        <f t="shared" si="28"/>
        <v>88380</v>
      </c>
      <c r="CR16" s="643">
        <f t="shared" si="29"/>
        <v>-39484</v>
      </c>
      <c r="CS16" s="643">
        <f t="shared" si="30"/>
        <v>48896</v>
      </c>
      <c r="CT16" s="643">
        <f t="shared" si="32"/>
        <v>26961</v>
      </c>
    </row>
    <row r="17" spans="1:98" ht="12.75">
      <c r="A17" s="621">
        <v>26</v>
      </c>
      <c r="B17" s="622" t="s">
        <v>178</v>
      </c>
      <c r="C17" s="631"/>
      <c r="D17" s="631">
        <v>14789</v>
      </c>
      <c r="E17" s="631">
        <f t="shared" si="40"/>
        <v>14789</v>
      </c>
      <c r="F17" s="631"/>
      <c r="G17" s="643">
        <f>+'[1]2.sz.m.Bevételek'!K59+'[1]2.sz.m.Bevételek'!K47</f>
        <v>14789</v>
      </c>
      <c r="H17" s="643">
        <f>+'[1]2.sz.m.Bevételek'!L47+'[1]2.sz.m.Bevételek'!L59</f>
        <v>12895</v>
      </c>
      <c r="I17" s="644">
        <f>+H17/G17</f>
        <v>0.8719318412333491</v>
      </c>
      <c r="J17" s="631"/>
      <c r="K17" s="631">
        <f t="shared" si="41"/>
        <v>14789</v>
      </c>
      <c r="L17" s="631">
        <v>8115</v>
      </c>
      <c r="M17" s="631">
        <f t="shared" si="1"/>
        <v>22904</v>
      </c>
      <c r="N17" s="631"/>
      <c r="O17" s="631">
        <f t="shared" si="2"/>
        <v>22904</v>
      </c>
      <c r="P17" s="631"/>
      <c r="Q17" s="631">
        <f t="shared" si="3"/>
        <v>22904</v>
      </c>
      <c r="R17" s="631">
        <f>+'1. melléklet_BEVÉTEL_KIADÁS'!S16</f>
        <v>0</v>
      </c>
      <c r="S17" s="631"/>
      <c r="T17" s="631"/>
      <c r="U17" s="631">
        <f t="shared" si="42"/>
        <v>0</v>
      </c>
      <c r="V17" s="631"/>
      <c r="W17" s="631">
        <f t="shared" si="43"/>
        <v>0</v>
      </c>
      <c r="X17" s="631">
        <f>+'[6]1. melléklet_BEVÉTEL_KIADÁS'!I16</f>
        <v>0</v>
      </c>
      <c r="Y17" s="632"/>
      <c r="Z17" s="631"/>
      <c r="AA17" s="631">
        <f>+U17+Z17</f>
        <v>0</v>
      </c>
      <c r="AB17" s="631"/>
      <c r="AC17" s="631">
        <f t="shared" si="4"/>
        <v>0</v>
      </c>
      <c r="AD17" s="631"/>
      <c r="AE17" s="631">
        <f t="shared" si="5"/>
        <v>0</v>
      </c>
      <c r="AF17" s="631"/>
      <c r="AG17" s="631">
        <f t="shared" si="6"/>
        <v>0</v>
      </c>
      <c r="AH17" s="631"/>
      <c r="AI17" s="631"/>
      <c r="AJ17" s="631"/>
      <c r="AK17" s="631">
        <f t="shared" si="44"/>
        <v>0</v>
      </c>
      <c r="AL17" s="631"/>
      <c r="AM17" s="631">
        <f t="shared" si="45"/>
        <v>0</v>
      </c>
      <c r="AN17" s="631"/>
      <c r="AO17" s="632"/>
      <c r="AP17" s="631"/>
      <c r="AQ17" s="631">
        <f t="shared" si="34"/>
        <v>0</v>
      </c>
      <c r="AR17" s="631"/>
      <c r="AS17" s="631">
        <f t="shared" si="7"/>
        <v>0</v>
      </c>
      <c r="AT17" s="631"/>
      <c r="AU17" s="631">
        <f t="shared" si="8"/>
        <v>0</v>
      </c>
      <c r="AV17" s="631"/>
      <c r="AW17" s="631">
        <f t="shared" si="9"/>
        <v>0</v>
      </c>
      <c r="AX17" s="631"/>
      <c r="AY17" s="631"/>
      <c r="AZ17" s="631"/>
      <c r="BA17" s="631">
        <f t="shared" si="46"/>
        <v>0</v>
      </c>
      <c r="BB17" s="631"/>
      <c r="BC17" s="631">
        <f t="shared" si="35"/>
        <v>0</v>
      </c>
      <c r="BD17" s="631"/>
      <c r="BE17" s="632"/>
      <c r="BF17" s="631"/>
      <c r="BG17" s="631">
        <f t="shared" si="36"/>
        <v>0</v>
      </c>
      <c r="BH17" s="631"/>
      <c r="BI17" s="631">
        <f t="shared" si="10"/>
        <v>0</v>
      </c>
      <c r="BJ17" s="631"/>
      <c r="BK17" s="631">
        <f t="shared" si="11"/>
        <v>0</v>
      </c>
      <c r="BL17" s="631"/>
      <c r="BM17" s="631">
        <f t="shared" si="12"/>
        <v>0</v>
      </c>
      <c r="BN17" s="631"/>
      <c r="BO17" s="631"/>
      <c r="BP17" s="631"/>
      <c r="BQ17" s="631">
        <f t="shared" si="47"/>
        <v>0</v>
      </c>
      <c r="BR17" s="631"/>
      <c r="BS17" s="631">
        <f t="shared" si="48"/>
        <v>0</v>
      </c>
      <c r="BT17" s="631">
        <f>+BR17+BS17</f>
        <v>0</v>
      </c>
      <c r="BU17" s="632"/>
      <c r="BV17" s="631"/>
      <c r="BW17" s="631">
        <f t="shared" si="37"/>
        <v>0</v>
      </c>
      <c r="BX17" s="631"/>
      <c r="BY17" s="631">
        <f t="shared" si="13"/>
        <v>0</v>
      </c>
      <c r="BZ17" s="631"/>
      <c r="CA17" s="631">
        <f t="shared" si="14"/>
        <v>0</v>
      </c>
      <c r="CB17" s="631"/>
      <c r="CC17" s="630">
        <f t="shared" si="15"/>
        <v>0</v>
      </c>
      <c r="CD17" s="631"/>
      <c r="CE17" s="633">
        <f t="shared" si="16"/>
        <v>0</v>
      </c>
      <c r="CF17" s="631">
        <f t="shared" si="17"/>
        <v>14789</v>
      </c>
      <c r="CG17" s="631">
        <f t="shared" si="18"/>
        <v>14789</v>
      </c>
      <c r="CH17" s="631">
        <f t="shared" si="19"/>
        <v>0</v>
      </c>
      <c r="CI17" s="631">
        <f t="shared" si="20"/>
        <v>14789</v>
      </c>
      <c r="CJ17" s="631">
        <f t="shared" si="21"/>
        <v>12895</v>
      </c>
      <c r="CK17" s="632">
        <f>+CJ17/CI17</f>
        <v>0.8719318412333491</v>
      </c>
      <c r="CL17" s="631">
        <f t="shared" si="23"/>
        <v>0</v>
      </c>
      <c r="CM17" s="631">
        <f t="shared" si="24"/>
        <v>14789</v>
      </c>
      <c r="CN17" s="631">
        <f t="shared" si="25"/>
        <v>8115</v>
      </c>
      <c r="CO17" s="631">
        <f t="shared" si="26"/>
        <v>22904</v>
      </c>
      <c r="CP17" s="631">
        <f t="shared" si="27"/>
        <v>0</v>
      </c>
      <c r="CQ17" s="631">
        <f t="shared" si="28"/>
        <v>22904</v>
      </c>
      <c r="CR17" s="631">
        <f t="shared" si="29"/>
        <v>0</v>
      </c>
      <c r="CS17" s="631">
        <f t="shared" si="30"/>
        <v>22904</v>
      </c>
      <c r="CT17" s="631">
        <f t="shared" si="32"/>
        <v>0</v>
      </c>
    </row>
    <row r="18" spans="1:98" ht="12.75">
      <c r="A18" s="627">
        <v>27</v>
      </c>
      <c r="B18" s="628" t="s">
        <v>179</v>
      </c>
      <c r="C18" s="631">
        <f aca="true" t="shared" si="49" ref="C18:H18">SUM(C19:C20)</f>
        <v>10000</v>
      </c>
      <c r="D18" s="631">
        <f t="shared" si="49"/>
        <v>0</v>
      </c>
      <c r="E18" s="631">
        <f t="shared" si="49"/>
        <v>10000</v>
      </c>
      <c r="F18" s="631" t="e">
        <f t="shared" si="49"/>
        <v>#REF!</v>
      </c>
      <c r="G18" s="631">
        <f t="shared" si="49"/>
        <v>10000</v>
      </c>
      <c r="H18" s="631" t="e">
        <f t="shared" si="49"/>
        <v>#REF!</v>
      </c>
      <c r="I18" s="632" t="e">
        <f>+H18/G18</f>
        <v>#REF!</v>
      </c>
      <c r="J18" s="631">
        <f>SUM(J19:J20)</f>
        <v>0</v>
      </c>
      <c r="K18" s="631">
        <f>SUM(K19:K20)</f>
        <v>10000</v>
      </c>
      <c r="L18" s="631">
        <f>SUM(L19:L20)</f>
        <v>0</v>
      </c>
      <c r="M18" s="631">
        <f t="shared" si="1"/>
        <v>10000</v>
      </c>
      <c r="N18" s="631">
        <f>SUM(N19:N20)</f>
        <v>0</v>
      </c>
      <c r="O18" s="631">
        <f t="shared" si="2"/>
        <v>10000</v>
      </c>
      <c r="P18" s="631">
        <f>SUM(P19:P20)</f>
        <v>-10000</v>
      </c>
      <c r="Q18" s="631">
        <f t="shared" si="3"/>
        <v>0</v>
      </c>
      <c r="R18" s="631">
        <f>+'1. melléklet_BEVÉTEL_KIADÁS'!S17</f>
        <v>0</v>
      </c>
      <c r="S18" s="631"/>
      <c r="T18" s="631">
        <f>SUM(T19:T20)</f>
        <v>0</v>
      </c>
      <c r="U18" s="631">
        <f>SUM(U19:U20)</f>
        <v>0</v>
      </c>
      <c r="V18" s="631">
        <f>SUM(V19:V20)</f>
        <v>0</v>
      </c>
      <c r="W18" s="631">
        <f>SUM(W19:W20)</f>
        <v>0</v>
      </c>
      <c r="X18" s="631">
        <f>+'[6]1. melléklet_BEVÉTEL_KIADÁS'!I17</f>
        <v>0</v>
      </c>
      <c r="Y18" s="632"/>
      <c r="Z18" s="631">
        <f>SUM(Z19:Z20)</f>
        <v>0</v>
      </c>
      <c r="AA18" s="631">
        <f>SUM(AA19:AA20)</f>
        <v>0</v>
      </c>
      <c r="AB18" s="631">
        <f>SUM(AB19:AB20)</f>
        <v>0</v>
      </c>
      <c r="AC18" s="631">
        <f t="shared" si="4"/>
        <v>0</v>
      </c>
      <c r="AD18" s="631">
        <f>SUM(AD19:AD20)</f>
        <v>0</v>
      </c>
      <c r="AE18" s="631">
        <f t="shared" si="5"/>
        <v>0</v>
      </c>
      <c r="AF18" s="631">
        <f>SUM(AF19:AF20)</f>
        <v>0</v>
      </c>
      <c r="AG18" s="631">
        <f t="shared" si="6"/>
        <v>0</v>
      </c>
      <c r="AH18" s="631"/>
      <c r="AI18" s="631"/>
      <c r="AJ18" s="631">
        <f>SUM(AJ19:AJ20)</f>
        <v>0</v>
      </c>
      <c r="AK18" s="631">
        <f>SUM(AK19:AK20)</f>
        <v>0</v>
      </c>
      <c r="AL18" s="631">
        <f>SUM(AL19:AL20)</f>
        <v>0</v>
      </c>
      <c r="AM18" s="631">
        <f>SUM(AM19:AM20)</f>
        <v>0</v>
      </c>
      <c r="AN18" s="631">
        <f>SUM(AN19:AN20)</f>
        <v>0</v>
      </c>
      <c r="AO18" s="632"/>
      <c r="AP18" s="631">
        <f>SUM(AP19:AP20)</f>
        <v>0</v>
      </c>
      <c r="AQ18" s="631">
        <f t="shared" si="34"/>
        <v>0</v>
      </c>
      <c r="AR18" s="631">
        <f>SUM(AR19:AR20)</f>
        <v>0</v>
      </c>
      <c r="AS18" s="631">
        <f t="shared" si="7"/>
        <v>0</v>
      </c>
      <c r="AT18" s="631">
        <f>SUM(AT19:AT20)</f>
        <v>0</v>
      </c>
      <c r="AU18" s="631">
        <f t="shared" si="8"/>
        <v>0</v>
      </c>
      <c r="AV18" s="631">
        <f>SUM(AV19:AV20)</f>
        <v>0</v>
      </c>
      <c r="AW18" s="631">
        <f t="shared" si="9"/>
        <v>0</v>
      </c>
      <c r="AX18" s="631"/>
      <c r="AY18" s="631"/>
      <c r="AZ18" s="631">
        <f>SUM(AZ19:AZ20)</f>
        <v>0</v>
      </c>
      <c r="BA18" s="631">
        <f>SUM(BA19:BA20)</f>
        <v>0</v>
      </c>
      <c r="BB18" s="631">
        <f>SUM(BB19:BB20)</f>
        <v>0</v>
      </c>
      <c r="BC18" s="631">
        <f t="shared" si="35"/>
        <v>0</v>
      </c>
      <c r="BD18" s="631">
        <f>SUM(BD19:BD20)</f>
        <v>0</v>
      </c>
      <c r="BE18" s="632"/>
      <c r="BF18" s="631">
        <f>SUM(BF19:BF20)</f>
        <v>0</v>
      </c>
      <c r="BG18" s="631">
        <f t="shared" si="36"/>
        <v>0</v>
      </c>
      <c r="BH18" s="631">
        <f>SUM(BH19:BH20)</f>
        <v>0</v>
      </c>
      <c r="BI18" s="631">
        <f t="shared" si="10"/>
        <v>0</v>
      </c>
      <c r="BJ18" s="631">
        <f>SUM(BJ19:BJ20)</f>
        <v>0</v>
      </c>
      <c r="BK18" s="631">
        <f t="shared" si="11"/>
        <v>0</v>
      </c>
      <c r="BL18" s="631">
        <f>SUM(BL19:BL20)</f>
        <v>0</v>
      </c>
      <c r="BM18" s="631">
        <f t="shared" si="12"/>
        <v>0</v>
      </c>
      <c r="BN18" s="631"/>
      <c r="BO18" s="631"/>
      <c r="BP18" s="631">
        <f>SUM(BP19:BP20)</f>
        <v>0</v>
      </c>
      <c r="BQ18" s="631">
        <f>SUM(BQ19:BQ20)</f>
        <v>0</v>
      </c>
      <c r="BR18" s="631">
        <f>SUM(BR19:BR20)</f>
        <v>0</v>
      </c>
      <c r="BS18" s="631">
        <f>SUM(BS19:BS20)</f>
        <v>0</v>
      </c>
      <c r="BT18" s="631">
        <f>SUM(BT19:BT20)</f>
        <v>0</v>
      </c>
      <c r="BU18" s="632"/>
      <c r="BV18" s="631">
        <f>SUM(BV19:BV20)</f>
        <v>0</v>
      </c>
      <c r="BW18" s="631">
        <f t="shared" si="37"/>
        <v>0</v>
      </c>
      <c r="BX18" s="631">
        <f>SUM(BX19:BX20)</f>
        <v>0</v>
      </c>
      <c r="BY18" s="631">
        <f t="shared" si="13"/>
        <v>0</v>
      </c>
      <c r="BZ18" s="631">
        <f>SUM(BZ19:BZ20)</f>
        <v>0</v>
      </c>
      <c r="CA18" s="631">
        <f t="shared" si="14"/>
        <v>0</v>
      </c>
      <c r="CB18" s="631">
        <f>SUM(CB19:CB20)</f>
        <v>0</v>
      </c>
      <c r="CC18" s="630">
        <f t="shared" si="15"/>
        <v>0</v>
      </c>
      <c r="CD18" s="631"/>
      <c r="CE18" s="633">
        <f t="shared" si="16"/>
        <v>10000</v>
      </c>
      <c r="CF18" s="631">
        <f t="shared" si="17"/>
        <v>0</v>
      </c>
      <c r="CG18" s="631">
        <f t="shared" si="18"/>
        <v>10000</v>
      </c>
      <c r="CH18" s="631" t="e">
        <f t="shared" si="19"/>
        <v>#REF!</v>
      </c>
      <c r="CI18" s="631">
        <f t="shared" si="20"/>
        <v>10000</v>
      </c>
      <c r="CJ18" s="631" t="e">
        <f t="shared" si="21"/>
        <v>#REF!</v>
      </c>
      <c r="CK18" s="632" t="e">
        <f>+CJ18/CI18</f>
        <v>#REF!</v>
      </c>
      <c r="CL18" s="631">
        <f t="shared" si="23"/>
        <v>0</v>
      </c>
      <c r="CM18" s="631">
        <f t="shared" si="24"/>
        <v>10000</v>
      </c>
      <c r="CN18" s="631">
        <f t="shared" si="25"/>
        <v>0</v>
      </c>
      <c r="CO18" s="631">
        <f t="shared" si="26"/>
        <v>10000</v>
      </c>
      <c r="CP18" s="631">
        <f t="shared" si="27"/>
        <v>0</v>
      </c>
      <c r="CQ18" s="631">
        <f t="shared" si="28"/>
        <v>10000</v>
      </c>
      <c r="CR18" s="631">
        <f t="shared" si="29"/>
        <v>-10000</v>
      </c>
      <c r="CS18" s="631">
        <f t="shared" si="30"/>
        <v>0</v>
      </c>
      <c r="CT18" s="631">
        <f t="shared" si="32"/>
        <v>0</v>
      </c>
    </row>
    <row r="19" spans="1:98" ht="12.75">
      <c r="A19" s="634">
        <v>271</v>
      </c>
      <c r="B19" s="638" t="s">
        <v>102</v>
      </c>
      <c r="C19" s="636">
        <f>+'[1]2.sz.m.Bevételek'!G46</f>
        <v>10000</v>
      </c>
      <c r="D19" s="636"/>
      <c r="E19" s="636">
        <f>+C19+D19</f>
        <v>10000</v>
      </c>
      <c r="F19" s="636" t="e">
        <f>+'[1]2.sz.m.Bevételek'!J46</f>
        <v>#REF!</v>
      </c>
      <c r="G19" s="636">
        <f>+'[1]2.sz.m.Bevételek'!K46</f>
        <v>10000</v>
      </c>
      <c r="H19" s="636" t="e">
        <f>+'[1]2.sz.m.Bevételek'!L46</f>
        <v>#REF!</v>
      </c>
      <c r="I19" s="637" t="e">
        <f>+H19/G19</f>
        <v>#REF!</v>
      </c>
      <c r="J19" s="636"/>
      <c r="K19" s="636">
        <f>+G19+J19</f>
        <v>10000</v>
      </c>
      <c r="L19" s="636"/>
      <c r="M19" s="636">
        <f t="shared" si="1"/>
        <v>10000</v>
      </c>
      <c r="N19" s="636"/>
      <c r="O19" s="636">
        <f t="shared" si="2"/>
        <v>10000</v>
      </c>
      <c r="P19" s="636">
        <f>+'[1]1A. melléklet_BEVÉTEL_KIADÁS'!Q18</f>
        <v>-10000</v>
      </c>
      <c r="Q19" s="636">
        <f t="shared" si="3"/>
        <v>0</v>
      </c>
      <c r="R19" s="636">
        <f>+'1. melléklet_BEVÉTEL_KIADÁS'!S18</f>
        <v>0</v>
      </c>
      <c r="S19" s="636"/>
      <c r="T19" s="636"/>
      <c r="U19" s="636">
        <f>+S19+T19</f>
        <v>0</v>
      </c>
      <c r="V19" s="636"/>
      <c r="W19" s="636">
        <f>+U19+V19</f>
        <v>0</v>
      </c>
      <c r="X19" s="636">
        <f>+'[6]1. melléklet_BEVÉTEL_KIADÁS'!I18</f>
        <v>0</v>
      </c>
      <c r="Y19" s="637"/>
      <c r="Z19" s="636"/>
      <c r="AA19" s="636">
        <f>+U19+Z19</f>
        <v>0</v>
      </c>
      <c r="AB19" s="636"/>
      <c r="AC19" s="636">
        <f t="shared" si="4"/>
        <v>0</v>
      </c>
      <c r="AD19" s="636"/>
      <c r="AE19" s="636">
        <f t="shared" si="5"/>
        <v>0</v>
      </c>
      <c r="AF19" s="636"/>
      <c r="AG19" s="636">
        <f t="shared" si="6"/>
        <v>0</v>
      </c>
      <c r="AH19" s="636"/>
      <c r="AI19" s="636"/>
      <c r="AJ19" s="636"/>
      <c r="AK19" s="636">
        <f>+AI19+AJ19</f>
        <v>0</v>
      </c>
      <c r="AL19" s="636"/>
      <c r="AM19" s="636">
        <f>+AI19+AL19</f>
        <v>0</v>
      </c>
      <c r="AN19" s="636"/>
      <c r="AO19" s="637"/>
      <c r="AP19" s="636"/>
      <c r="AQ19" s="636">
        <f t="shared" si="34"/>
        <v>0</v>
      </c>
      <c r="AR19" s="636"/>
      <c r="AS19" s="636">
        <f t="shared" si="7"/>
        <v>0</v>
      </c>
      <c r="AT19" s="636"/>
      <c r="AU19" s="636">
        <f t="shared" si="8"/>
        <v>0</v>
      </c>
      <c r="AV19" s="636"/>
      <c r="AW19" s="636">
        <f t="shared" si="9"/>
        <v>0</v>
      </c>
      <c r="AX19" s="636"/>
      <c r="AY19" s="636"/>
      <c r="AZ19" s="636"/>
      <c r="BA19" s="636">
        <f>+AY19+AZ19</f>
        <v>0</v>
      </c>
      <c r="BB19" s="636"/>
      <c r="BC19" s="636">
        <f t="shared" si="35"/>
        <v>0</v>
      </c>
      <c r="BD19" s="636"/>
      <c r="BE19" s="637"/>
      <c r="BF19" s="636"/>
      <c r="BG19" s="636">
        <f t="shared" si="36"/>
        <v>0</v>
      </c>
      <c r="BH19" s="636"/>
      <c r="BI19" s="636">
        <f t="shared" si="10"/>
        <v>0</v>
      </c>
      <c r="BJ19" s="636"/>
      <c r="BK19" s="636">
        <f t="shared" si="11"/>
        <v>0</v>
      </c>
      <c r="BL19" s="636"/>
      <c r="BM19" s="636">
        <f t="shared" si="12"/>
        <v>0</v>
      </c>
      <c r="BN19" s="636"/>
      <c r="BO19" s="636"/>
      <c r="BP19" s="636"/>
      <c r="BQ19" s="636">
        <f>+BO19+BP19</f>
        <v>0</v>
      </c>
      <c r="BR19" s="636"/>
      <c r="BS19" s="636">
        <f>+BQ19+BR19</f>
        <v>0</v>
      </c>
      <c r="BT19" s="636">
        <f>+BR19+BS19</f>
        <v>0</v>
      </c>
      <c r="BU19" s="637"/>
      <c r="BV19" s="636"/>
      <c r="BW19" s="636">
        <f t="shared" si="37"/>
        <v>0</v>
      </c>
      <c r="BX19" s="636"/>
      <c r="BY19" s="636">
        <f t="shared" si="13"/>
        <v>0</v>
      </c>
      <c r="BZ19" s="636"/>
      <c r="CA19" s="636">
        <f t="shared" si="14"/>
        <v>0</v>
      </c>
      <c r="CB19" s="636"/>
      <c r="CC19" s="638">
        <f t="shared" si="15"/>
        <v>0</v>
      </c>
      <c r="CD19" s="636"/>
      <c r="CE19" s="639">
        <f t="shared" si="16"/>
        <v>10000</v>
      </c>
      <c r="CF19" s="636">
        <f t="shared" si="17"/>
        <v>0</v>
      </c>
      <c r="CG19" s="636">
        <f t="shared" si="18"/>
        <v>10000</v>
      </c>
      <c r="CH19" s="636" t="e">
        <f t="shared" si="19"/>
        <v>#REF!</v>
      </c>
      <c r="CI19" s="636">
        <f t="shared" si="20"/>
        <v>10000</v>
      </c>
      <c r="CJ19" s="636" t="e">
        <f t="shared" si="21"/>
        <v>#REF!</v>
      </c>
      <c r="CK19" s="637" t="e">
        <f>+CJ19/CI19</f>
        <v>#REF!</v>
      </c>
      <c r="CL19" s="636">
        <f t="shared" si="23"/>
        <v>0</v>
      </c>
      <c r="CM19" s="636">
        <f t="shared" si="24"/>
        <v>10000</v>
      </c>
      <c r="CN19" s="636">
        <f t="shared" si="25"/>
        <v>0</v>
      </c>
      <c r="CO19" s="636">
        <f t="shared" si="26"/>
        <v>10000</v>
      </c>
      <c r="CP19" s="636">
        <f t="shared" si="27"/>
        <v>0</v>
      </c>
      <c r="CQ19" s="636">
        <f t="shared" si="28"/>
        <v>10000</v>
      </c>
      <c r="CR19" s="636">
        <f t="shared" si="29"/>
        <v>-10000</v>
      </c>
      <c r="CS19" s="636">
        <f t="shared" si="30"/>
        <v>0</v>
      </c>
      <c r="CT19" s="636">
        <f t="shared" si="32"/>
        <v>0</v>
      </c>
    </row>
    <row r="20" spans="1:98" ht="12.75">
      <c r="A20" s="634">
        <v>272</v>
      </c>
      <c r="B20" s="635" t="s">
        <v>433</v>
      </c>
      <c r="C20" s="636"/>
      <c r="D20" s="636"/>
      <c r="E20" s="636"/>
      <c r="F20" s="636"/>
      <c r="G20" s="636"/>
      <c r="H20" s="636"/>
      <c r="I20" s="637"/>
      <c r="J20" s="636"/>
      <c r="K20" s="636"/>
      <c r="L20" s="636"/>
      <c r="M20" s="636">
        <f t="shared" si="1"/>
        <v>0</v>
      </c>
      <c r="N20" s="636"/>
      <c r="O20" s="636">
        <f t="shared" si="2"/>
        <v>0</v>
      </c>
      <c r="P20" s="636"/>
      <c r="Q20" s="636">
        <f t="shared" si="3"/>
        <v>0</v>
      </c>
      <c r="R20" s="636">
        <f>+'1. melléklet_BEVÉTEL_KIADÁS'!S19</f>
        <v>7500</v>
      </c>
      <c r="S20" s="636"/>
      <c r="T20" s="636"/>
      <c r="U20" s="636"/>
      <c r="V20" s="636"/>
      <c r="W20" s="636"/>
      <c r="X20" s="636">
        <f>+'[6]1. melléklet_BEVÉTEL_KIADÁS'!I19</f>
        <v>0</v>
      </c>
      <c r="Y20" s="637"/>
      <c r="Z20" s="636"/>
      <c r="AA20" s="636"/>
      <c r="AB20" s="636"/>
      <c r="AC20" s="636">
        <f t="shared" si="4"/>
        <v>0</v>
      </c>
      <c r="AD20" s="636"/>
      <c r="AE20" s="636">
        <f t="shared" si="5"/>
        <v>0</v>
      </c>
      <c r="AF20" s="636"/>
      <c r="AG20" s="636">
        <f t="shared" si="6"/>
        <v>0</v>
      </c>
      <c r="AH20" s="636"/>
      <c r="AI20" s="636"/>
      <c r="AJ20" s="636"/>
      <c r="AK20" s="636"/>
      <c r="AL20" s="636"/>
      <c r="AM20" s="636"/>
      <c r="AN20" s="636"/>
      <c r="AO20" s="637"/>
      <c r="AP20" s="636"/>
      <c r="AQ20" s="636">
        <f t="shared" si="34"/>
        <v>0</v>
      </c>
      <c r="AR20" s="636"/>
      <c r="AS20" s="636">
        <f t="shared" si="7"/>
        <v>0</v>
      </c>
      <c r="AT20" s="636"/>
      <c r="AU20" s="636">
        <f t="shared" si="8"/>
        <v>0</v>
      </c>
      <c r="AV20" s="636"/>
      <c r="AW20" s="636">
        <f t="shared" si="9"/>
        <v>0</v>
      </c>
      <c r="AX20" s="636"/>
      <c r="AY20" s="636"/>
      <c r="AZ20" s="636"/>
      <c r="BA20" s="636"/>
      <c r="BB20" s="636"/>
      <c r="BC20" s="636">
        <f t="shared" si="35"/>
        <v>0</v>
      </c>
      <c r="BD20" s="636"/>
      <c r="BE20" s="637"/>
      <c r="BF20" s="636"/>
      <c r="BG20" s="636">
        <f t="shared" si="36"/>
        <v>0</v>
      </c>
      <c r="BH20" s="636"/>
      <c r="BI20" s="636">
        <f t="shared" si="10"/>
        <v>0</v>
      </c>
      <c r="BJ20" s="636"/>
      <c r="BK20" s="636">
        <f t="shared" si="11"/>
        <v>0</v>
      </c>
      <c r="BL20" s="636"/>
      <c r="BM20" s="636">
        <f t="shared" si="12"/>
        <v>0</v>
      </c>
      <c r="BN20" s="636"/>
      <c r="BO20" s="636"/>
      <c r="BP20" s="636"/>
      <c r="BQ20" s="636"/>
      <c r="BR20" s="636"/>
      <c r="BS20" s="636"/>
      <c r="BT20" s="636"/>
      <c r="BU20" s="637"/>
      <c r="BV20" s="636"/>
      <c r="BW20" s="636">
        <f t="shared" si="37"/>
        <v>0</v>
      </c>
      <c r="BX20" s="636"/>
      <c r="BY20" s="636">
        <f t="shared" si="13"/>
        <v>0</v>
      </c>
      <c r="BZ20" s="636"/>
      <c r="CA20" s="636">
        <f t="shared" si="14"/>
        <v>0</v>
      </c>
      <c r="CB20" s="636"/>
      <c r="CC20" s="638">
        <f t="shared" si="15"/>
        <v>0</v>
      </c>
      <c r="CD20" s="636"/>
      <c r="CE20" s="639">
        <f t="shared" si="16"/>
        <v>0</v>
      </c>
      <c r="CF20" s="636">
        <f t="shared" si="17"/>
        <v>0</v>
      </c>
      <c r="CG20" s="636">
        <f t="shared" si="18"/>
        <v>0</v>
      </c>
      <c r="CH20" s="636">
        <f t="shared" si="19"/>
        <v>0</v>
      </c>
      <c r="CI20" s="636">
        <f t="shared" si="20"/>
        <v>0</v>
      </c>
      <c r="CJ20" s="636">
        <f t="shared" si="21"/>
        <v>0</v>
      </c>
      <c r="CK20" s="637"/>
      <c r="CL20" s="636">
        <f t="shared" si="23"/>
        <v>0</v>
      </c>
      <c r="CM20" s="636">
        <f t="shared" si="24"/>
        <v>0</v>
      </c>
      <c r="CN20" s="636">
        <f t="shared" si="25"/>
        <v>0</v>
      </c>
      <c r="CO20" s="636">
        <f t="shared" si="26"/>
        <v>0</v>
      </c>
      <c r="CP20" s="636">
        <f t="shared" si="27"/>
        <v>0</v>
      </c>
      <c r="CQ20" s="636">
        <f t="shared" si="28"/>
        <v>0</v>
      </c>
      <c r="CR20" s="636">
        <f t="shared" si="29"/>
        <v>0</v>
      </c>
      <c r="CS20" s="636">
        <f t="shared" si="30"/>
        <v>0</v>
      </c>
      <c r="CT20" s="636">
        <f t="shared" si="32"/>
        <v>7500</v>
      </c>
    </row>
    <row r="21" spans="1:98" ht="12.75">
      <c r="A21" s="621">
        <v>28</v>
      </c>
      <c r="B21" s="622" t="s">
        <v>180</v>
      </c>
      <c r="C21" s="631"/>
      <c r="D21" s="631"/>
      <c r="E21" s="631"/>
      <c r="F21" s="631"/>
      <c r="G21" s="643"/>
      <c r="H21" s="631"/>
      <c r="I21" s="632"/>
      <c r="J21" s="631"/>
      <c r="K21" s="631"/>
      <c r="L21" s="631"/>
      <c r="M21" s="631">
        <f t="shared" si="1"/>
        <v>0</v>
      </c>
      <c r="N21" s="631"/>
      <c r="O21" s="631">
        <f t="shared" si="2"/>
        <v>0</v>
      </c>
      <c r="P21" s="631"/>
      <c r="Q21" s="631">
        <f t="shared" si="3"/>
        <v>0</v>
      </c>
      <c r="R21" s="631">
        <f>+'1. melléklet_BEVÉTEL_KIADÁS'!S20</f>
        <v>0</v>
      </c>
      <c r="S21" s="631"/>
      <c r="T21" s="631"/>
      <c r="U21" s="631"/>
      <c r="V21" s="631"/>
      <c r="W21" s="631"/>
      <c r="X21" s="631">
        <f>+'[6]1. melléklet_BEVÉTEL_KIADÁS'!I20</f>
        <v>0</v>
      </c>
      <c r="Y21" s="632"/>
      <c r="Z21" s="631"/>
      <c r="AA21" s="631"/>
      <c r="AB21" s="631"/>
      <c r="AC21" s="631">
        <f t="shared" si="4"/>
        <v>0</v>
      </c>
      <c r="AD21" s="631"/>
      <c r="AE21" s="631">
        <f t="shared" si="5"/>
        <v>0</v>
      </c>
      <c r="AF21" s="631"/>
      <c r="AG21" s="631">
        <f t="shared" si="6"/>
        <v>0</v>
      </c>
      <c r="AH21" s="631"/>
      <c r="AI21" s="631"/>
      <c r="AJ21" s="631"/>
      <c r="AK21" s="631"/>
      <c r="AL21" s="631"/>
      <c r="AM21" s="631"/>
      <c r="AN21" s="631"/>
      <c r="AO21" s="632"/>
      <c r="AP21" s="631"/>
      <c r="AQ21" s="631">
        <f t="shared" si="34"/>
        <v>0</v>
      </c>
      <c r="AR21" s="631"/>
      <c r="AS21" s="631">
        <f t="shared" si="7"/>
        <v>0</v>
      </c>
      <c r="AT21" s="631"/>
      <c r="AU21" s="631">
        <f t="shared" si="8"/>
        <v>0</v>
      </c>
      <c r="AV21" s="631"/>
      <c r="AW21" s="631">
        <f t="shared" si="9"/>
        <v>0</v>
      </c>
      <c r="AX21" s="631"/>
      <c r="AY21" s="631"/>
      <c r="AZ21" s="631"/>
      <c r="BA21" s="631"/>
      <c r="BB21" s="631"/>
      <c r="BC21" s="631">
        <f t="shared" si="35"/>
        <v>0</v>
      </c>
      <c r="BD21" s="631"/>
      <c r="BE21" s="632"/>
      <c r="BF21" s="631"/>
      <c r="BG21" s="631">
        <f t="shared" si="36"/>
        <v>0</v>
      </c>
      <c r="BH21" s="631"/>
      <c r="BI21" s="631">
        <f t="shared" si="10"/>
        <v>0</v>
      </c>
      <c r="BJ21" s="631"/>
      <c r="BK21" s="631">
        <f t="shared" si="11"/>
        <v>0</v>
      </c>
      <c r="BL21" s="631"/>
      <c r="BM21" s="631">
        <f t="shared" si="12"/>
        <v>0</v>
      </c>
      <c r="BN21" s="631"/>
      <c r="BO21" s="631"/>
      <c r="BP21" s="631"/>
      <c r="BQ21" s="631"/>
      <c r="BR21" s="631"/>
      <c r="BS21" s="631"/>
      <c r="BT21" s="631"/>
      <c r="BU21" s="632"/>
      <c r="BV21" s="631"/>
      <c r="BW21" s="631">
        <f t="shared" si="37"/>
        <v>0</v>
      </c>
      <c r="BX21" s="631"/>
      <c r="BY21" s="631">
        <f t="shared" si="13"/>
        <v>0</v>
      </c>
      <c r="BZ21" s="631"/>
      <c r="CA21" s="631">
        <f t="shared" si="14"/>
        <v>0</v>
      </c>
      <c r="CB21" s="631"/>
      <c r="CC21" s="630">
        <f t="shared" si="15"/>
        <v>0</v>
      </c>
      <c r="CD21" s="631"/>
      <c r="CE21" s="633">
        <f t="shared" si="16"/>
        <v>0</v>
      </c>
      <c r="CF21" s="631">
        <f t="shared" si="17"/>
        <v>0</v>
      </c>
      <c r="CG21" s="631">
        <f t="shared" si="18"/>
        <v>0</v>
      </c>
      <c r="CH21" s="631">
        <f t="shared" si="19"/>
        <v>0</v>
      </c>
      <c r="CI21" s="631">
        <f t="shared" si="20"/>
        <v>0</v>
      </c>
      <c r="CJ21" s="631">
        <f t="shared" si="21"/>
        <v>0</v>
      </c>
      <c r="CK21" s="632"/>
      <c r="CL21" s="631">
        <f t="shared" si="23"/>
        <v>0</v>
      </c>
      <c r="CM21" s="631">
        <f t="shared" si="24"/>
        <v>0</v>
      </c>
      <c r="CN21" s="631">
        <f t="shared" si="25"/>
        <v>0</v>
      </c>
      <c r="CO21" s="631">
        <f t="shared" si="26"/>
        <v>0</v>
      </c>
      <c r="CP21" s="631">
        <f t="shared" si="27"/>
        <v>0</v>
      </c>
      <c r="CQ21" s="631">
        <f t="shared" si="28"/>
        <v>0</v>
      </c>
      <c r="CR21" s="631">
        <f t="shared" si="29"/>
        <v>0</v>
      </c>
      <c r="CS21" s="631">
        <f t="shared" si="30"/>
        <v>0</v>
      </c>
      <c r="CT21" s="631">
        <f t="shared" si="32"/>
        <v>0</v>
      </c>
    </row>
    <row r="22" spans="1:98" ht="13.5" thickBot="1">
      <c r="A22" s="646">
        <v>29</v>
      </c>
      <c r="B22" s="647" t="s">
        <v>181</v>
      </c>
      <c r="C22" s="648"/>
      <c r="D22" s="648"/>
      <c r="E22" s="648"/>
      <c r="F22" s="648"/>
      <c r="G22" s="648"/>
      <c r="H22" s="648">
        <v>-13</v>
      </c>
      <c r="I22" s="649"/>
      <c r="J22" s="648"/>
      <c r="K22" s="648"/>
      <c r="L22" s="648"/>
      <c r="M22" s="648">
        <f t="shared" si="1"/>
        <v>0</v>
      </c>
      <c r="N22" s="648"/>
      <c r="O22" s="648">
        <f t="shared" si="2"/>
        <v>0</v>
      </c>
      <c r="P22" s="648"/>
      <c r="Q22" s="648">
        <f t="shared" si="3"/>
        <v>0</v>
      </c>
      <c r="R22" s="648">
        <f>+'1. melléklet_BEVÉTEL_KIADÁS'!S21</f>
        <v>17</v>
      </c>
      <c r="S22" s="648"/>
      <c r="T22" s="648"/>
      <c r="U22" s="648"/>
      <c r="V22" s="648"/>
      <c r="W22" s="648"/>
      <c r="X22" s="648">
        <f>+'[6]1. melléklet_BEVÉTEL_KIADÁS'!I21</f>
        <v>69</v>
      </c>
      <c r="Y22" s="649"/>
      <c r="Z22" s="648"/>
      <c r="AA22" s="648"/>
      <c r="AB22" s="648"/>
      <c r="AC22" s="648">
        <f t="shared" si="4"/>
        <v>0</v>
      </c>
      <c r="AD22" s="648"/>
      <c r="AE22" s="648">
        <f t="shared" si="5"/>
        <v>0</v>
      </c>
      <c r="AF22" s="648"/>
      <c r="AG22" s="648">
        <f t="shared" si="6"/>
        <v>0</v>
      </c>
      <c r="AH22" s="648">
        <f>+'[11]1. melléklet_BEVÉTEL_KIADÁS'!S21</f>
        <v>28</v>
      </c>
      <c r="AI22" s="648"/>
      <c r="AJ22" s="648"/>
      <c r="AK22" s="648"/>
      <c r="AL22" s="648"/>
      <c r="AM22" s="648"/>
      <c r="AN22" s="648"/>
      <c r="AO22" s="649"/>
      <c r="AP22" s="648"/>
      <c r="AQ22" s="648">
        <f t="shared" si="34"/>
        <v>0</v>
      </c>
      <c r="AR22" s="648"/>
      <c r="AS22" s="648">
        <f t="shared" si="7"/>
        <v>0</v>
      </c>
      <c r="AT22" s="648"/>
      <c r="AU22" s="648">
        <f t="shared" si="8"/>
        <v>0</v>
      </c>
      <c r="AV22" s="648"/>
      <c r="AW22" s="648">
        <f t="shared" si="9"/>
        <v>0</v>
      </c>
      <c r="AX22" s="648"/>
      <c r="AY22" s="648"/>
      <c r="AZ22" s="648"/>
      <c r="BA22" s="648"/>
      <c r="BB22" s="648"/>
      <c r="BC22" s="648">
        <f t="shared" si="35"/>
        <v>0</v>
      </c>
      <c r="BD22" s="648"/>
      <c r="BE22" s="649"/>
      <c r="BF22" s="648"/>
      <c r="BG22" s="648">
        <f t="shared" si="36"/>
        <v>0</v>
      </c>
      <c r="BH22" s="648"/>
      <c r="BI22" s="648">
        <f t="shared" si="10"/>
        <v>0</v>
      </c>
      <c r="BJ22" s="648"/>
      <c r="BK22" s="648">
        <f t="shared" si="11"/>
        <v>0</v>
      </c>
      <c r="BL22" s="648"/>
      <c r="BM22" s="648">
        <f t="shared" si="12"/>
        <v>0</v>
      </c>
      <c r="BN22" s="648">
        <f>+'[12]1. melléklet_BEVÉTEL_KIADÁS'!R23</f>
        <v>4</v>
      </c>
      <c r="BO22" s="648"/>
      <c r="BP22" s="648"/>
      <c r="BQ22" s="648"/>
      <c r="BR22" s="648"/>
      <c r="BS22" s="648"/>
      <c r="BT22" s="648"/>
      <c r="BU22" s="649"/>
      <c r="BV22" s="648"/>
      <c r="BW22" s="648">
        <f t="shared" si="37"/>
        <v>0</v>
      </c>
      <c r="BX22" s="648"/>
      <c r="BY22" s="648">
        <f t="shared" si="13"/>
        <v>0</v>
      </c>
      <c r="BZ22" s="648"/>
      <c r="CA22" s="648">
        <f t="shared" si="14"/>
        <v>0</v>
      </c>
      <c r="CB22" s="648"/>
      <c r="CC22" s="650">
        <f t="shared" si="15"/>
        <v>0</v>
      </c>
      <c r="CD22" s="648"/>
      <c r="CE22" s="651">
        <f t="shared" si="16"/>
        <v>0</v>
      </c>
      <c r="CF22" s="648">
        <f t="shared" si="17"/>
        <v>0</v>
      </c>
      <c r="CG22" s="648">
        <f t="shared" si="18"/>
        <v>0</v>
      </c>
      <c r="CH22" s="648">
        <f t="shared" si="19"/>
        <v>0</v>
      </c>
      <c r="CI22" s="648">
        <f t="shared" si="20"/>
        <v>0</v>
      </c>
      <c r="CJ22" s="648">
        <f t="shared" si="21"/>
        <v>56</v>
      </c>
      <c r="CK22" s="649"/>
      <c r="CL22" s="648">
        <f t="shared" si="23"/>
        <v>0</v>
      </c>
      <c r="CM22" s="648">
        <f t="shared" si="24"/>
        <v>0</v>
      </c>
      <c r="CN22" s="648">
        <f t="shared" si="25"/>
        <v>0</v>
      </c>
      <c r="CO22" s="648">
        <f t="shared" si="26"/>
        <v>0</v>
      </c>
      <c r="CP22" s="648">
        <f t="shared" si="27"/>
        <v>0</v>
      </c>
      <c r="CQ22" s="648">
        <f t="shared" si="28"/>
        <v>0</v>
      </c>
      <c r="CR22" s="648">
        <f t="shared" si="29"/>
        <v>0</v>
      </c>
      <c r="CS22" s="648">
        <f t="shared" si="30"/>
        <v>0</v>
      </c>
      <c r="CT22" s="648">
        <f t="shared" si="32"/>
        <v>49</v>
      </c>
    </row>
    <row r="23" spans="1:98" s="56" customFormat="1" ht="23.25" customHeight="1" thickBot="1">
      <c r="A23" s="652"/>
      <c r="B23" s="652"/>
      <c r="C23" s="652"/>
      <c r="D23" s="652"/>
      <c r="E23" s="652"/>
      <c r="F23" s="652"/>
      <c r="G23" s="652"/>
      <c r="H23" s="652"/>
      <c r="I23" s="653"/>
      <c r="J23" s="652"/>
      <c r="K23" s="652"/>
      <c r="L23" s="652"/>
      <c r="M23" s="652">
        <f t="shared" si="1"/>
        <v>0</v>
      </c>
      <c r="N23" s="652"/>
      <c r="O23" s="652">
        <f t="shared" si="2"/>
        <v>0</v>
      </c>
      <c r="P23" s="652"/>
      <c r="Q23" s="652">
        <f t="shared" si="3"/>
        <v>0</v>
      </c>
      <c r="R23" s="652"/>
      <c r="S23" s="652"/>
      <c r="T23" s="652"/>
      <c r="U23" s="652"/>
      <c r="V23" s="652"/>
      <c r="W23" s="652"/>
      <c r="X23" s="652"/>
      <c r="Y23" s="653"/>
      <c r="Z23" s="652"/>
      <c r="AA23" s="652"/>
      <c r="AB23" s="652"/>
      <c r="AC23" s="652">
        <f t="shared" si="4"/>
        <v>0</v>
      </c>
      <c r="AD23" s="652"/>
      <c r="AE23" s="652">
        <f t="shared" si="5"/>
        <v>0</v>
      </c>
      <c r="AF23" s="652"/>
      <c r="AG23" s="652">
        <f t="shared" si="6"/>
        <v>0</v>
      </c>
      <c r="AH23" s="652"/>
      <c r="AI23" s="652"/>
      <c r="AJ23" s="652"/>
      <c r="AK23" s="652"/>
      <c r="AL23" s="652"/>
      <c r="AM23" s="652"/>
      <c r="AN23" s="652"/>
      <c r="AO23" s="653"/>
      <c r="AP23" s="652"/>
      <c r="AQ23" s="652"/>
      <c r="AR23" s="652"/>
      <c r="AS23" s="652">
        <f t="shared" si="7"/>
        <v>0</v>
      </c>
      <c r="AT23" s="652"/>
      <c r="AU23" s="652">
        <f t="shared" si="8"/>
        <v>0</v>
      </c>
      <c r="AV23" s="652"/>
      <c r="AW23" s="652">
        <f t="shared" si="9"/>
        <v>0</v>
      </c>
      <c r="AX23" s="652"/>
      <c r="AY23" s="652"/>
      <c r="AZ23" s="652"/>
      <c r="BA23" s="652"/>
      <c r="BB23" s="652"/>
      <c r="BC23" s="652"/>
      <c r="BD23" s="652"/>
      <c r="BE23" s="653"/>
      <c r="BF23" s="652"/>
      <c r="BG23" s="652"/>
      <c r="BH23" s="652"/>
      <c r="BI23" s="652">
        <f t="shared" si="10"/>
        <v>0</v>
      </c>
      <c r="BJ23" s="652"/>
      <c r="BK23" s="652">
        <f t="shared" si="11"/>
        <v>0</v>
      </c>
      <c r="BL23" s="652"/>
      <c r="BM23" s="652">
        <f t="shared" si="12"/>
        <v>0</v>
      </c>
      <c r="BN23" s="652"/>
      <c r="BO23" s="652"/>
      <c r="BP23" s="652"/>
      <c r="BQ23" s="652"/>
      <c r="BR23" s="652"/>
      <c r="BS23" s="652"/>
      <c r="BT23" s="652"/>
      <c r="BU23" s="653"/>
      <c r="BV23" s="652"/>
      <c r="BW23" s="652"/>
      <c r="BX23" s="652"/>
      <c r="BY23" s="652">
        <f t="shared" si="13"/>
        <v>0</v>
      </c>
      <c r="BZ23" s="652"/>
      <c r="CA23" s="652">
        <f t="shared" si="14"/>
        <v>0</v>
      </c>
      <c r="CB23" s="652"/>
      <c r="CC23" s="652">
        <f t="shared" si="15"/>
        <v>0</v>
      </c>
      <c r="CD23" s="652"/>
      <c r="CE23" s="652">
        <f>+C23+S23+AI23+AY23+BO23</f>
        <v>0</v>
      </c>
      <c r="CF23" s="652"/>
      <c r="CG23" s="652">
        <f>+E23+U23+AK23+BA23+BQ23</f>
        <v>0</v>
      </c>
      <c r="CH23" s="652"/>
      <c r="CI23" s="652">
        <f>+G23+W23+AM23+BC23+BS23</f>
        <v>0</v>
      </c>
      <c r="CJ23" s="652"/>
      <c r="CK23" s="653"/>
      <c r="CL23" s="652">
        <f t="shared" si="23"/>
        <v>0</v>
      </c>
      <c r="CM23" s="652">
        <f t="shared" si="24"/>
        <v>0</v>
      </c>
      <c r="CN23" s="652">
        <f t="shared" si="25"/>
        <v>0</v>
      </c>
      <c r="CO23" s="652">
        <f t="shared" si="26"/>
        <v>0</v>
      </c>
      <c r="CP23" s="652">
        <f t="shared" si="27"/>
        <v>0</v>
      </c>
      <c r="CQ23" s="652">
        <f t="shared" si="28"/>
        <v>0</v>
      </c>
      <c r="CR23" s="652">
        <f t="shared" si="29"/>
        <v>0</v>
      </c>
      <c r="CS23" s="652">
        <f t="shared" si="30"/>
        <v>0</v>
      </c>
      <c r="CT23" s="652">
        <f t="shared" si="32"/>
        <v>0</v>
      </c>
    </row>
    <row r="24" spans="1:98" ht="13.5" thickBot="1">
      <c r="A24" s="609">
        <v>1</v>
      </c>
      <c r="B24" s="654" t="s">
        <v>182</v>
      </c>
      <c r="C24" s="611">
        <f>+C26+C27+C28+C29+C30+C35+C36+C38+C39</f>
        <v>1187865.7059443782</v>
      </c>
      <c r="D24" s="611" t="e">
        <f>+D26+D27+D28+D29+D30+D35+D36+D37+D38+D39</f>
        <v>#REF!</v>
      </c>
      <c r="E24" s="611">
        <f>+E26+E27+E28+E29+E30+E35+E36+E37+E38+E39</f>
        <v>1215701.7059443782</v>
      </c>
      <c r="F24" s="611" t="e">
        <f>+F26+F27+F28+F29+F30+F35+F36+F37+F38+F39</f>
        <v>#REF!</v>
      </c>
      <c r="G24" s="611">
        <f>+G26+G27+G28+G29+G30+G35+G36+G37+G38+G39</f>
        <v>1276050.7059443782</v>
      </c>
      <c r="H24" s="611" t="e">
        <f>+H26+H27+H28+H29+H30+H35+H36+H37+H38+H39+H40</f>
        <v>#REF!</v>
      </c>
      <c r="I24" s="612" t="e">
        <f aca="true" t="shared" si="50" ref="I24:I32">+H24/G24</f>
        <v>#REF!</v>
      </c>
      <c r="J24" s="611">
        <f>+J26+J27+J28+J29+J30+J35+J36+J37+J38+J39</f>
        <v>283224</v>
      </c>
      <c r="K24" s="611">
        <f>+K26+K27+K28+K29+K30+K35+K36+K37+K38+K39</f>
        <v>1559274.7059443782</v>
      </c>
      <c r="L24" s="611">
        <f>+L26+L27+L28+L29+L30+L35+L36+L37+L38+L39</f>
        <v>66708</v>
      </c>
      <c r="M24" s="611">
        <f t="shared" si="1"/>
        <v>1625982.7059443782</v>
      </c>
      <c r="N24" s="611">
        <f>+N26+N27+N28+N29+N30+N35+N36+N37+N38+N39</f>
        <v>-234050</v>
      </c>
      <c r="O24" s="611">
        <f t="shared" si="2"/>
        <v>1391932.7059443782</v>
      </c>
      <c r="P24" s="611">
        <f>+P26+P27+P28+P29+P30+P35+P36+P37+P38+P39</f>
        <v>-167040</v>
      </c>
      <c r="Q24" s="611">
        <f t="shared" si="3"/>
        <v>1224892.7059443782</v>
      </c>
      <c r="R24" s="611">
        <f>+R26+R27+R28+R29+R30+R35+R36+R37+R38+R39+R40</f>
        <v>840541</v>
      </c>
      <c r="S24" s="611">
        <f aca="true" t="shared" si="51" ref="S24:X24">+S26+S27+S28+S29+S30+S35+S36+S37+S38+S39</f>
        <v>283520.63624164</v>
      </c>
      <c r="T24" s="611">
        <f t="shared" si="51"/>
        <v>-18819</v>
      </c>
      <c r="U24" s="611">
        <f t="shared" si="51"/>
        <v>264701.63624164</v>
      </c>
      <c r="V24" s="611">
        <f t="shared" si="51"/>
        <v>3461</v>
      </c>
      <c r="W24" s="611">
        <f t="shared" si="51"/>
        <v>268162.63624164</v>
      </c>
      <c r="X24" s="611">
        <f t="shared" si="51"/>
        <v>100795</v>
      </c>
      <c r="Y24" s="612">
        <f aca="true" t="shared" si="52" ref="Y24:Y29">+X24/W24</f>
        <v>0.37587264733321807</v>
      </c>
      <c r="Z24" s="611">
        <f>+Z26+Z27+Z28+Z29+Z30+Z35+Z36+Z37+Z38+Z39</f>
        <v>-7732</v>
      </c>
      <c r="AA24" s="611">
        <f>+AA26+AA27+AA28+AA29+AA30+AA35+AA36+AA37+AA38+AA39</f>
        <v>260430.63624164002</v>
      </c>
      <c r="AB24" s="611">
        <f>+AB26+AB27+AB28+AB29+AB30+AB35+AB36+AB37+AB38+AB39</f>
        <v>-24840</v>
      </c>
      <c r="AC24" s="611">
        <f t="shared" si="4"/>
        <v>235590.63624164002</v>
      </c>
      <c r="AD24" s="611">
        <f>+AD26+AD27+AD28+AD29+AD30+AD35+AD36+AD37+AD38+AD39</f>
        <v>6079</v>
      </c>
      <c r="AE24" s="611">
        <f t="shared" si="5"/>
        <v>241669.63624164002</v>
      </c>
      <c r="AF24" s="611">
        <f>+AF26+AF27+AF28+AF29+AF30+AF35+AF36+AF37+AF38+AF39</f>
        <v>-17703</v>
      </c>
      <c r="AG24" s="611">
        <f t="shared" si="6"/>
        <v>223966.63624164002</v>
      </c>
      <c r="AH24" s="611">
        <f>+AH26+AH27+AH28+AH29+AH30+AH35+AH36+AH37+AH38+AH39+AH40</f>
        <v>218738</v>
      </c>
      <c r="AI24" s="611">
        <f>+AI26+AI27+AI28+AI29+AI30+AI35+AI36+AI37+AI38+AI39</f>
        <v>203545.8982</v>
      </c>
      <c r="AJ24" s="611">
        <f>+AJ26+AJ27+AJ28+AJ29+AJ30+AJ35+AJ36+AJ37+AJ38+AJ39</f>
        <v>0</v>
      </c>
      <c r="AK24" s="611">
        <f>+AK26+AK27+AK28+AK29+AK30+AK35+AK36+AK37+AK38+AK39</f>
        <v>203545.8982</v>
      </c>
      <c r="AL24" s="611">
        <f>+AL26+AL27+AL28+AL29+AL30+AL35+AL36+AL37+AL38+AL39</f>
        <v>2360</v>
      </c>
      <c r="AM24" s="611">
        <f>+AM26+AM27+AM28+AM29+AM30+AM35+AM36+AM37+AM38+AM39</f>
        <v>205905.8982</v>
      </c>
      <c r="AN24" s="611">
        <f>+AN26+AN27+AN28+AN29+AN30+AN35+AN36+AN37+AN38+AN39+AN40</f>
        <v>88146</v>
      </c>
      <c r="AO24" s="612">
        <f>+AN24/AM24</f>
        <v>0.4280887569057505</v>
      </c>
      <c r="AP24" s="611">
        <f>+AP26+AP27+AP28+AP29+AP30+AP35+AP36+AP37+AP38+AP39</f>
        <v>-4373</v>
      </c>
      <c r="AQ24" s="611">
        <f>+AQ26+AQ27+AQ28+AQ29+AQ30+AQ35+AQ36+AQ37+AQ38+AQ39</f>
        <v>201532.8982</v>
      </c>
      <c r="AR24" s="611">
        <f>+AR26+AR27+AR28+AR29+AR30+AR35+AR36+AR37+AR38+AR39</f>
        <v>1204</v>
      </c>
      <c r="AS24" s="611">
        <f t="shared" si="7"/>
        <v>202736.8982</v>
      </c>
      <c r="AT24" s="611">
        <f>+AT26+AT27+AT28+AT29+AT30+AT35+AT36+AT37+AT38+AT39</f>
        <v>-1938</v>
      </c>
      <c r="AU24" s="611">
        <f t="shared" si="8"/>
        <v>200798.8982</v>
      </c>
      <c r="AV24" s="611">
        <f>+AV26+AV27+AV28+AV29+AV30+AV35+AV36+AV37+AV38+AV39</f>
        <v>-12645</v>
      </c>
      <c r="AW24" s="611">
        <f t="shared" si="9"/>
        <v>188153.8982</v>
      </c>
      <c r="AX24" s="611">
        <f>+AX26+AX27+AX28+AX29+AX30+AX35+AX36+AX37+AX38+AX39+AX40</f>
        <v>187047</v>
      </c>
      <c r="AY24" s="611">
        <f>+AY26+AY27+AY28+AY29+AY30+AY35+AY36+AY37+AY38+AY39</f>
        <v>204458.05839999998</v>
      </c>
      <c r="AZ24" s="611">
        <f>+AZ26+AZ27+AZ28+AZ29+AZ30+AZ35+AZ36+AZ37+AZ38+AZ39</f>
        <v>153</v>
      </c>
      <c r="BA24" s="611">
        <f>+BA26+BA27+BA28+BA29+BA30+BA35+BA36+BA37+BA38+BA39</f>
        <v>204611.05839999998</v>
      </c>
      <c r="BB24" s="611">
        <f>+BB26+BB27+BB28+BB29+BB30+BB35+BB36+BB37+BB38+BB39</f>
        <v>2145</v>
      </c>
      <c r="BC24" s="611">
        <f>+BC26+BC27+BC28+BC29+BC30+BC35+BC36+BC37+BC38+BC39</f>
        <v>206756.05839999998</v>
      </c>
      <c r="BD24" s="611">
        <f>+BD26+BD27+BD28+BD29+BD30+BD35+BD36+BD37+BD38+BD39+BD40</f>
        <v>89853</v>
      </c>
      <c r="BE24" s="612">
        <f aca="true" t="shared" si="53" ref="BE24:BE29">+BD24/BC24</f>
        <v>0.43458460513967706</v>
      </c>
      <c r="BF24" s="611">
        <f>+BF26+BF27+BF28+BF29+BF30+BF35+BF36+BF37+BF38+BF39</f>
        <v>-3577</v>
      </c>
      <c r="BG24" s="611">
        <f>+BG26+BG27+BG28+BG29+BG30+BG35+BG36+BG37+BG38+BG39</f>
        <v>203179.05839999998</v>
      </c>
      <c r="BH24" s="611">
        <f>+BH26+BH27+BH28+BH29+BH30+BH35+BH36+BH37+BH38+BH39</f>
        <v>4252</v>
      </c>
      <c r="BI24" s="611">
        <f t="shared" si="10"/>
        <v>207431.05839999998</v>
      </c>
      <c r="BJ24" s="611">
        <f>+BJ26+BJ27+BJ28+BJ29+BJ30+BJ35+BJ36+BJ37+BJ38+BJ39</f>
        <v>3161</v>
      </c>
      <c r="BK24" s="611">
        <f t="shared" si="11"/>
        <v>210592.05839999998</v>
      </c>
      <c r="BL24" s="611">
        <f>+BL26+BL27+BL28+BL29+BL30+BL35+BL36+BL37+BL38+BL39</f>
        <v>-12226</v>
      </c>
      <c r="BM24" s="611">
        <f t="shared" si="12"/>
        <v>198366.05839999998</v>
      </c>
      <c r="BN24" s="611">
        <f>+BN26+BN27+BN28+BN29+BN30+BN35+BN36+BN37+BN38+BN39+BN40</f>
        <v>193414</v>
      </c>
      <c r="BO24" s="611">
        <f>+BO26+BO27+BO28+BO29+BO30+BO35+BO36+BO37+BO38+BO39</f>
        <v>27922.00408</v>
      </c>
      <c r="BP24" s="611">
        <f>+BP26+BP27+BP28+BP29+BP30+BP35+BP36+BP37+BP38+BP39</f>
        <v>208</v>
      </c>
      <c r="BQ24" s="611">
        <f>+BQ26+BQ27+BQ28+BQ29+BQ30+BQ35+BQ36+BQ37+BQ38+BQ39</f>
        <v>28130.00408</v>
      </c>
      <c r="BR24" s="611">
        <f>+BR26+BR27+BR28+BR29+BR30+BR35+BR36+BR37+BR38+BR39</f>
        <v>787</v>
      </c>
      <c r="BS24" s="611">
        <f>+BS26+BS27+BS28+BS29+BS30+BS35+BS36+BS37+BS38+BS39</f>
        <v>28917.00408</v>
      </c>
      <c r="BT24" s="611">
        <f>+BT26+BT27+BT28+BT29+BT30+BT35+BT36+BT37+BT38+BT39+BT40</f>
        <v>11141</v>
      </c>
      <c r="BU24" s="612">
        <f>+BT24/BS24</f>
        <v>0.3852750433336039</v>
      </c>
      <c r="BV24" s="611">
        <f>+BV26+BV27+BV28+BV29+BV30+BV35+BV36+BV37+BV38+BV39</f>
        <v>-411</v>
      </c>
      <c r="BW24" s="611">
        <f>+BW26+BW27+BW28+BW29+BW30+BW35+BW36+BW37+BW38+BW39</f>
        <v>28506.00408</v>
      </c>
      <c r="BX24" s="611">
        <f>+BX26+BX27+BX28+BX29+BX30+BX35+BX36+BX37+BX38+BX39</f>
        <v>1725</v>
      </c>
      <c r="BY24" s="611">
        <f t="shared" si="13"/>
        <v>30231.00408</v>
      </c>
      <c r="BZ24" s="611">
        <f>+BZ26+BZ27+BZ28+BZ29+BZ30+BZ35+BZ36+BZ37+BZ38+BZ39</f>
        <v>68</v>
      </c>
      <c r="CA24" s="611">
        <f t="shared" si="14"/>
        <v>30299.00408</v>
      </c>
      <c r="CB24" s="611">
        <f>+CB26+CB27+CB28+CB29+CB30+CB35+CB36+CB37+CB38+CB39</f>
        <v>-1874</v>
      </c>
      <c r="CC24" s="611">
        <f t="shared" si="15"/>
        <v>28425.00408</v>
      </c>
      <c r="CD24" s="611">
        <f>+CD26+CD27+CD28+CD29+CD30+CD35+CD36+CD37+CD38+CD39+CD40</f>
        <v>27914</v>
      </c>
      <c r="CE24" s="611">
        <f aca="true" t="shared" si="54" ref="CE24:CJ24">+CE26+CE27+CE28+CE29+CE30+CE35+CE36+CE37+CE38+CE39+CE40</f>
        <v>1907312.3028660181</v>
      </c>
      <c r="CF24" s="611" t="e">
        <f t="shared" si="54"/>
        <v>#REF!</v>
      </c>
      <c r="CG24" s="611">
        <f t="shared" si="54"/>
        <v>1916690.3028660181</v>
      </c>
      <c r="CH24" s="611" t="e">
        <f t="shared" si="54"/>
        <v>#REF!</v>
      </c>
      <c r="CI24" s="611">
        <f t="shared" si="54"/>
        <v>1985792.3028660181</v>
      </c>
      <c r="CJ24" s="611" t="e">
        <f t="shared" si="54"/>
        <v>#REF!</v>
      </c>
      <c r="CK24" s="612" t="e">
        <f aca="true" t="shared" si="55" ref="CK24:CK32">+CJ24/CI24</f>
        <v>#REF!</v>
      </c>
      <c r="CL24" s="611">
        <f aca="true" t="shared" si="56" ref="CL24:CS24">+CL26+CL27+CL28+CL29+CL30+CL35+CL36+CL37+CL38+CL39+CL40</f>
        <v>267131</v>
      </c>
      <c r="CM24" s="611">
        <f t="shared" si="56"/>
        <v>2252923.3028660184</v>
      </c>
      <c r="CN24" s="611">
        <f t="shared" si="56"/>
        <v>49049</v>
      </c>
      <c r="CO24" s="611">
        <f t="shared" si="56"/>
        <v>2301972.3028660184</v>
      </c>
      <c r="CP24" s="611">
        <f t="shared" si="56"/>
        <v>-226680</v>
      </c>
      <c r="CQ24" s="611">
        <f t="shared" si="56"/>
        <v>2075292.3028660181</v>
      </c>
      <c r="CR24" s="611">
        <f t="shared" si="56"/>
        <v>-211488</v>
      </c>
      <c r="CS24" s="611">
        <f t="shared" si="56"/>
        <v>1863804.3028660181</v>
      </c>
      <c r="CT24" s="611">
        <f t="shared" si="32"/>
        <v>1467654</v>
      </c>
    </row>
    <row r="25" spans="1:98" ht="47.25" customHeight="1" thickBot="1">
      <c r="A25" s="615"/>
      <c r="B25" s="616" t="s">
        <v>168</v>
      </c>
      <c r="C25" s="617">
        <f aca="true" t="shared" si="57" ref="C25:H25">+C24-C32</f>
        <v>550181.7059443782</v>
      </c>
      <c r="D25" s="617" t="e">
        <f t="shared" si="57"/>
        <v>#REF!</v>
      </c>
      <c r="E25" s="617">
        <f t="shared" si="57"/>
        <v>596475.7059443782</v>
      </c>
      <c r="F25" s="617" t="e">
        <f t="shared" si="57"/>
        <v>#REF!</v>
      </c>
      <c r="G25" s="617">
        <f t="shared" si="57"/>
        <v>648071.7059443782</v>
      </c>
      <c r="H25" s="617" t="e">
        <f t="shared" si="57"/>
        <v>#REF!</v>
      </c>
      <c r="I25" s="618" t="e">
        <f t="shared" si="50"/>
        <v>#REF!</v>
      </c>
      <c r="J25" s="617">
        <f>+J24-J32</f>
        <v>297600</v>
      </c>
      <c r="K25" s="617">
        <f>+K24-K32</f>
        <v>945671.7059443782</v>
      </c>
      <c r="L25" s="617">
        <f>+L24-L32</f>
        <v>84367</v>
      </c>
      <c r="M25" s="617">
        <f t="shared" si="1"/>
        <v>1030038.7059443782</v>
      </c>
      <c r="N25" s="617">
        <f>+N24-N32</f>
        <v>-242293</v>
      </c>
      <c r="O25" s="617">
        <f t="shared" si="2"/>
        <v>787745.7059443782</v>
      </c>
      <c r="P25" s="617">
        <f>+P24-P32</f>
        <v>-121642</v>
      </c>
      <c r="Q25" s="617">
        <f t="shared" si="3"/>
        <v>666103.7059443782</v>
      </c>
      <c r="R25" s="617">
        <f>+R24-R32</f>
        <v>483990</v>
      </c>
      <c r="S25" s="617">
        <f aca="true" t="shared" si="58" ref="S25:X25">+S24-S32</f>
        <v>283520.63624164</v>
      </c>
      <c r="T25" s="617">
        <f t="shared" si="58"/>
        <v>-18819</v>
      </c>
      <c r="U25" s="617">
        <f t="shared" si="58"/>
        <v>264701.63624164</v>
      </c>
      <c r="V25" s="617">
        <f t="shared" si="58"/>
        <v>3461</v>
      </c>
      <c r="W25" s="617">
        <f t="shared" si="58"/>
        <v>268162.63624164</v>
      </c>
      <c r="X25" s="617">
        <f t="shared" si="58"/>
        <v>100795</v>
      </c>
      <c r="Y25" s="618">
        <f t="shared" si="52"/>
        <v>0.37587264733321807</v>
      </c>
      <c r="Z25" s="617">
        <f>+Z24-Z32</f>
        <v>-7732</v>
      </c>
      <c r="AA25" s="617">
        <f>+AA24-AA32</f>
        <v>260430.63624164002</v>
      </c>
      <c r="AB25" s="617">
        <f>+AB24-AB32</f>
        <v>-24840</v>
      </c>
      <c r="AC25" s="617">
        <f t="shared" si="4"/>
        <v>235590.63624164002</v>
      </c>
      <c r="AD25" s="617">
        <f>+AD24-AD32</f>
        <v>6079</v>
      </c>
      <c r="AE25" s="617">
        <f t="shared" si="5"/>
        <v>241669.63624164002</v>
      </c>
      <c r="AF25" s="617">
        <f>+AF24-AF32</f>
        <v>-17703</v>
      </c>
      <c r="AG25" s="617">
        <f t="shared" si="6"/>
        <v>223966.63624164002</v>
      </c>
      <c r="AH25" s="617">
        <f>+AH24-AH32</f>
        <v>218738</v>
      </c>
      <c r="AI25" s="617">
        <f aca="true" t="shared" si="59" ref="AI25:AN25">+AI24-AI32</f>
        <v>203545.8982</v>
      </c>
      <c r="AJ25" s="617">
        <f t="shared" si="59"/>
        <v>0</v>
      </c>
      <c r="AK25" s="617">
        <f t="shared" si="59"/>
        <v>203545.8982</v>
      </c>
      <c r="AL25" s="617">
        <f t="shared" si="59"/>
        <v>2360</v>
      </c>
      <c r="AM25" s="617">
        <f t="shared" si="59"/>
        <v>205905.8982</v>
      </c>
      <c r="AN25" s="617">
        <f t="shared" si="59"/>
        <v>88146</v>
      </c>
      <c r="AO25" s="618">
        <f>+AN25/AM25</f>
        <v>0.4280887569057505</v>
      </c>
      <c r="AP25" s="617">
        <f>+AP24-AP32</f>
        <v>-4373</v>
      </c>
      <c r="AQ25" s="617">
        <f>+AQ24-AQ32</f>
        <v>201532.8982</v>
      </c>
      <c r="AR25" s="617">
        <f>+AR24-AR32</f>
        <v>1204</v>
      </c>
      <c r="AS25" s="617">
        <f t="shared" si="7"/>
        <v>202736.8982</v>
      </c>
      <c r="AT25" s="617">
        <f>+AT24-AT32</f>
        <v>-1938</v>
      </c>
      <c r="AU25" s="617">
        <f t="shared" si="8"/>
        <v>200798.8982</v>
      </c>
      <c r="AV25" s="617">
        <f>+AV24-AV32</f>
        <v>-12645</v>
      </c>
      <c r="AW25" s="617">
        <f t="shared" si="9"/>
        <v>188153.8982</v>
      </c>
      <c r="AX25" s="617">
        <f>+AX24-AX32</f>
        <v>187047</v>
      </c>
      <c r="AY25" s="617">
        <f aca="true" t="shared" si="60" ref="AY25:BD25">+AY24-AY32</f>
        <v>204458.05839999998</v>
      </c>
      <c r="AZ25" s="617">
        <f t="shared" si="60"/>
        <v>153</v>
      </c>
      <c r="BA25" s="617">
        <f t="shared" si="60"/>
        <v>204611.05839999998</v>
      </c>
      <c r="BB25" s="617">
        <f t="shared" si="60"/>
        <v>2145</v>
      </c>
      <c r="BC25" s="617">
        <f t="shared" si="60"/>
        <v>206756.05839999998</v>
      </c>
      <c r="BD25" s="617">
        <f t="shared" si="60"/>
        <v>89853</v>
      </c>
      <c r="BE25" s="618">
        <f t="shared" si="53"/>
        <v>0.43458460513967706</v>
      </c>
      <c r="BF25" s="617">
        <f>+BF24-BF32</f>
        <v>-3577</v>
      </c>
      <c r="BG25" s="617">
        <f>+BG24-BG32</f>
        <v>203179.05839999998</v>
      </c>
      <c r="BH25" s="617">
        <f>+BH24-BH32</f>
        <v>4252</v>
      </c>
      <c r="BI25" s="617">
        <f t="shared" si="10"/>
        <v>207431.05839999998</v>
      </c>
      <c r="BJ25" s="617">
        <f>+BJ24-BJ32</f>
        <v>3161</v>
      </c>
      <c r="BK25" s="617">
        <f t="shared" si="11"/>
        <v>210592.05839999998</v>
      </c>
      <c r="BL25" s="617">
        <f>+BL24-BL32</f>
        <v>-12226</v>
      </c>
      <c r="BM25" s="617">
        <f t="shared" si="12"/>
        <v>198366.05839999998</v>
      </c>
      <c r="BN25" s="617">
        <f>+BN24-BN32</f>
        <v>193414</v>
      </c>
      <c r="BO25" s="617">
        <f aca="true" t="shared" si="61" ref="BO25:BT25">+BO24-BO32</f>
        <v>27922.00408</v>
      </c>
      <c r="BP25" s="617">
        <f t="shared" si="61"/>
        <v>208</v>
      </c>
      <c r="BQ25" s="617">
        <f t="shared" si="61"/>
        <v>28130.00408</v>
      </c>
      <c r="BR25" s="617">
        <f t="shared" si="61"/>
        <v>787</v>
      </c>
      <c r="BS25" s="617">
        <f t="shared" si="61"/>
        <v>28917.00408</v>
      </c>
      <c r="BT25" s="617">
        <f t="shared" si="61"/>
        <v>11141</v>
      </c>
      <c r="BU25" s="618">
        <f>+BT25/BS25</f>
        <v>0.3852750433336039</v>
      </c>
      <c r="BV25" s="617">
        <f>+BV24-BV32</f>
        <v>-411</v>
      </c>
      <c r="BW25" s="617">
        <f>+BW24-BW32</f>
        <v>28506.00408</v>
      </c>
      <c r="BX25" s="617">
        <f>+BX24-BX32</f>
        <v>1725</v>
      </c>
      <c r="BY25" s="617">
        <f t="shared" si="13"/>
        <v>30231.00408</v>
      </c>
      <c r="BZ25" s="617">
        <f>+BZ24-BZ32</f>
        <v>68</v>
      </c>
      <c r="CA25" s="617">
        <f t="shared" si="14"/>
        <v>30299.00408</v>
      </c>
      <c r="CB25" s="617">
        <f>+CB24-CB32</f>
        <v>-1874</v>
      </c>
      <c r="CC25" s="617">
        <f t="shared" si="15"/>
        <v>28425.00408</v>
      </c>
      <c r="CD25" s="617">
        <f>+CD24-CD32</f>
        <v>27914</v>
      </c>
      <c r="CE25" s="617">
        <f aca="true" t="shared" si="62" ref="CE25:CE39">+C25+S25+AI25+AY25+BO25</f>
        <v>1269628.3028660181</v>
      </c>
      <c r="CF25" s="617" t="e">
        <f aca="true" t="shared" si="63" ref="CF25:CF39">+D25+T25+AJ25+AZ25+BP25</f>
        <v>#REF!</v>
      </c>
      <c r="CG25" s="617">
        <f aca="true" t="shared" si="64" ref="CG25:CG39">+E25+U25+AK25+BA25+BQ25</f>
        <v>1297464.3028660181</v>
      </c>
      <c r="CH25" s="617" t="e">
        <f aca="true" t="shared" si="65" ref="CH25:CH39">+F25+V25+AL25+BB25+BR25</f>
        <v>#REF!</v>
      </c>
      <c r="CI25" s="617">
        <f aca="true" t="shared" si="66" ref="CI25:CI39">+G25+W25+AM25+BC25+BS25</f>
        <v>1357813.3028660181</v>
      </c>
      <c r="CJ25" s="617" t="e">
        <f aca="true" t="shared" si="67" ref="CJ25:CJ39">+H25+X25+AN25+BD25+BT25</f>
        <v>#REF!</v>
      </c>
      <c r="CK25" s="618" t="e">
        <f t="shared" si="55"/>
        <v>#REF!</v>
      </c>
      <c r="CL25" s="617">
        <f aca="true" t="shared" si="68" ref="CL25:CL39">+J25+Z25+AP25+BF25+BV25</f>
        <v>281507</v>
      </c>
      <c r="CM25" s="617">
        <f aca="true" t="shared" si="69" ref="CM25:CM39">+K25+AA25+AQ25+BG25+BW25</f>
        <v>1639320.3028660181</v>
      </c>
      <c r="CN25" s="617">
        <f aca="true" t="shared" si="70" ref="CN25:CN39">+L25+AB25+AR25+BH25+BX25</f>
        <v>66708</v>
      </c>
      <c r="CO25" s="617">
        <f aca="true" t="shared" si="71" ref="CO25:CO39">+M25+AC25+AS25+BI25+BY25</f>
        <v>1706028.3028660181</v>
      </c>
      <c r="CP25" s="617">
        <f aca="true" t="shared" si="72" ref="CP25:CP39">+N25+AD25+AT25+BJ25+BZ25</f>
        <v>-234923</v>
      </c>
      <c r="CQ25" s="617">
        <f aca="true" t="shared" si="73" ref="CQ25:CQ39">+O25+AE25+AU25+BK25+CA25</f>
        <v>1471105.3028660181</v>
      </c>
      <c r="CR25" s="617">
        <f aca="true" t="shared" si="74" ref="CR25:CR39">+P25+AF25+AV25+BL25+CB25</f>
        <v>-166090</v>
      </c>
      <c r="CS25" s="617">
        <f aca="true" t="shared" si="75" ref="CS25:CS39">+Q25+AG25+AW25+BM25+CC25</f>
        <v>1305015.3028660181</v>
      </c>
      <c r="CT25" s="617">
        <f t="shared" si="32"/>
        <v>1111103</v>
      </c>
    </row>
    <row r="26" spans="1:98" ht="12.75">
      <c r="A26" s="640">
        <v>11</v>
      </c>
      <c r="B26" s="635" t="s">
        <v>427</v>
      </c>
      <c r="C26" s="643">
        <f>+'[1]4.sz.m.Kiadások'!C5</f>
        <v>12560</v>
      </c>
      <c r="D26" s="643">
        <f>+'[1]4.sz.m.Kiadások'!D5</f>
        <v>0</v>
      </c>
      <c r="E26" s="643">
        <f>+'[1]4.sz.m.Kiadások'!E5</f>
        <v>12560</v>
      </c>
      <c r="F26" s="643">
        <f>+'[1]4.sz.m.Kiadások'!F5</f>
        <v>270</v>
      </c>
      <c r="G26" s="643">
        <f>+'[1]4.sz.m.Kiadások'!G5</f>
        <v>12830</v>
      </c>
      <c r="H26" s="643">
        <f>+'[1]4.sz.m.Kiadások'!H5</f>
        <v>5006</v>
      </c>
      <c r="I26" s="644">
        <f t="shared" si="50"/>
        <v>0.3901792673421668</v>
      </c>
      <c r="J26" s="643">
        <v>-1310</v>
      </c>
      <c r="K26" s="643">
        <f aca="true" t="shared" si="76" ref="K26:K39">+G26+J26</f>
        <v>11520</v>
      </c>
      <c r="L26" s="643">
        <v>-490</v>
      </c>
      <c r="M26" s="643">
        <f t="shared" si="1"/>
        <v>11030</v>
      </c>
      <c r="N26" s="643">
        <v>-751</v>
      </c>
      <c r="O26" s="643">
        <f t="shared" si="2"/>
        <v>10279</v>
      </c>
      <c r="P26" s="643">
        <f>+'[1]1A. melléklet_BEVÉTEL_KIADÁS'!Q24</f>
        <v>-920</v>
      </c>
      <c r="Q26" s="643">
        <f t="shared" si="3"/>
        <v>9359</v>
      </c>
      <c r="R26" s="643">
        <f>+'1. melléklet_BEVÉTEL_KIADÁS'!S24</f>
        <v>14552</v>
      </c>
      <c r="S26" s="643">
        <f>+'[2]4.sz.m.Kiadások'!D5</f>
        <v>105092.04000000001</v>
      </c>
      <c r="T26" s="643"/>
      <c r="U26" s="643">
        <f>+S26+T26</f>
        <v>105092.04000000001</v>
      </c>
      <c r="V26" s="643">
        <f>+'[6]1. melléklet_BEVÉTEL_KIADÁS'!$G$24</f>
        <v>649</v>
      </c>
      <c r="W26" s="643">
        <f>+U26+V26</f>
        <v>105741.04000000001</v>
      </c>
      <c r="X26" s="643">
        <f>+'[6]1. melléklet_BEVÉTEL_KIADÁS'!I24</f>
        <v>49376</v>
      </c>
      <c r="Y26" s="644">
        <f t="shared" si="52"/>
        <v>0.4669520935296267</v>
      </c>
      <c r="Z26" s="643">
        <f>+'[6]1. melléklet_BEVÉTEL_KIADÁS'!$K$24</f>
        <v>0</v>
      </c>
      <c r="AA26" s="643">
        <f aca="true" t="shared" si="77" ref="AA26:AA39">+W26+Z26</f>
        <v>105741.04000000001</v>
      </c>
      <c r="AB26" s="643">
        <v>911</v>
      </c>
      <c r="AC26" s="643">
        <f t="shared" si="4"/>
        <v>106652.04000000001</v>
      </c>
      <c r="AD26" s="643">
        <v>5843</v>
      </c>
      <c r="AE26" s="643">
        <f t="shared" si="5"/>
        <v>112495.04000000001</v>
      </c>
      <c r="AF26" s="643"/>
      <c r="AG26" s="643">
        <f t="shared" si="6"/>
        <v>112495.04000000001</v>
      </c>
      <c r="AH26" s="643">
        <f>+'[11]1. melléklet_BEVÉTEL_KIADÁS'!S24</f>
        <v>100887</v>
      </c>
      <c r="AI26" s="643">
        <f>+'[3]4.sz.m.Kiadások'!$D$5</f>
        <v>99088</v>
      </c>
      <c r="AJ26" s="643"/>
      <c r="AK26" s="643">
        <f>+AI26+AJ26</f>
        <v>99088</v>
      </c>
      <c r="AL26" s="643">
        <f>+'[7]1. melléklet_BEVÉTEL_KIADÁS'!F25</f>
        <v>1914</v>
      </c>
      <c r="AM26" s="643">
        <f>+AI26+AL26</f>
        <v>101002</v>
      </c>
      <c r="AN26" s="643">
        <f>+'[7]1. melléklet_BEVÉTEL_KIADÁS'!H25</f>
        <v>46129</v>
      </c>
      <c r="AO26" s="644">
        <f>+AN26/AM26</f>
        <v>0.456713728441021</v>
      </c>
      <c r="AP26" s="643">
        <v>-3531</v>
      </c>
      <c r="AQ26" s="643">
        <f aca="true" t="shared" si="78" ref="AQ26:AQ39">+AM26+AP26</f>
        <v>97471</v>
      </c>
      <c r="AR26" s="643">
        <v>948</v>
      </c>
      <c r="AS26" s="643">
        <f t="shared" si="7"/>
        <v>98419</v>
      </c>
      <c r="AT26" s="643">
        <v>-1738</v>
      </c>
      <c r="AU26" s="643">
        <f t="shared" si="8"/>
        <v>96681</v>
      </c>
      <c r="AV26" s="643">
        <v>-4209</v>
      </c>
      <c r="AW26" s="643">
        <f t="shared" si="9"/>
        <v>92472</v>
      </c>
      <c r="AX26" s="643">
        <f>+'[10]1. melléklet_BEVÉTEL_KIADÁS'!$R25</f>
        <v>91039</v>
      </c>
      <c r="AY26" s="643">
        <f>+'[4]4.sz.m.Kiadások'!$D$5</f>
        <v>102756</v>
      </c>
      <c r="AZ26" s="643"/>
      <c r="BA26" s="643">
        <f>+AY26+AZ26</f>
        <v>102756</v>
      </c>
      <c r="BB26" s="643">
        <v>1957</v>
      </c>
      <c r="BC26" s="643">
        <f aca="true" t="shared" si="79" ref="BC26:BC39">+BA26+BB26</f>
        <v>104713</v>
      </c>
      <c r="BD26" s="643">
        <v>47072</v>
      </c>
      <c r="BE26" s="644">
        <f t="shared" si="53"/>
        <v>0.44953348676859606</v>
      </c>
      <c r="BF26" s="643">
        <v>-4154</v>
      </c>
      <c r="BG26" s="643">
        <f aca="true" t="shared" si="80" ref="BG26:BG40">+BC26+BF26</f>
        <v>100559</v>
      </c>
      <c r="BH26" s="643">
        <v>1064</v>
      </c>
      <c r="BI26" s="643">
        <f t="shared" si="10"/>
        <v>101623</v>
      </c>
      <c r="BJ26" s="643">
        <v>2489</v>
      </c>
      <c r="BK26" s="643">
        <f t="shared" si="11"/>
        <v>104112</v>
      </c>
      <c r="BL26" s="643">
        <v>-5176</v>
      </c>
      <c r="BM26" s="643">
        <f t="shared" si="12"/>
        <v>98936</v>
      </c>
      <c r="BN26" s="643">
        <f>+'[12]1. melléklet_BEVÉTEL_KIADÁS'!R26</f>
        <v>98011</v>
      </c>
      <c r="BO26" s="643">
        <f>+'[5]4.sz.m.Kiadások'!$D$5</f>
        <v>11385.954</v>
      </c>
      <c r="BP26" s="643"/>
      <c r="BQ26" s="643">
        <f>+BO26+BP26</f>
        <v>11385.954</v>
      </c>
      <c r="BR26" s="643">
        <v>159</v>
      </c>
      <c r="BS26" s="643">
        <f>+BQ26+BR26</f>
        <v>11544.954</v>
      </c>
      <c r="BT26" s="643">
        <v>5452</v>
      </c>
      <c r="BU26" s="644">
        <f>+BT26/BS26</f>
        <v>0.4722409461310976</v>
      </c>
      <c r="BV26" s="643">
        <v>-324</v>
      </c>
      <c r="BW26" s="643">
        <f aca="true" t="shared" si="81" ref="BW26:BW39">+BS26+BV26</f>
        <v>11220.954</v>
      </c>
      <c r="BX26" s="643">
        <v>229</v>
      </c>
      <c r="BY26" s="643">
        <f t="shared" si="13"/>
        <v>11449.954</v>
      </c>
      <c r="BZ26" s="643">
        <v>299</v>
      </c>
      <c r="CA26" s="643">
        <f t="shared" si="14"/>
        <v>11748.954</v>
      </c>
      <c r="CB26" s="643">
        <v>-661</v>
      </c>
      <c r="CC26" s="643">
        <f t="shared" si="15"/>
        <v>11087.954</v>
      </c>
      <c r="CD26" s="643">
        <f>+'[13]1. melléklet_BEVÉTEL_KIADÁS'!R24</f>
        <v>10959</v>
      </c>
      <c r="CE26" s="643">
        <f t="shared" si="62"/>
        <v>330881.99400000006</v>
      </c>
      <c r="CF26" s="643">
        <f t="shared" si="63"/>
        <v>0</v>
      </c>
      <c r="CG26" s="643">
        <f t="shared" si="64"/>
        <v>330881.99400000006</v>
      </c>
      <c r="CH26" s="643">
        <f t="shared" si="65"/>
        <v>4949</v>
      </c>
      <c r="CI26" s="643">
        <f t="shared" si="66"/>
        <v>335830.99400000006</v>
      </c>
      <c r="CJ26" s="643">
        <f t="shared" si="67"/>
        <v>153035</v>
      </c>
      <c r="CK26" s="644">
        <f t="shared" si="55"/>
        <v>0.45569051914249453</v>
      </c>
      <c r="CL26" s="643">
        <f t="shared" si="68"/>
        <v>-9319</v>
      </c>
      <c r="CM26" s="643">
        <f t="shared" si="69"/>
        <v>326511.99400000006</v>
      </c>
      <c r="CN26" s="643">
        <f t="shared" si="70"/>
        <v>2662</v>
      </c>
      <c r="CO26" s="643">
        <f t="shared" si="71"/>
        <v>329173.99400000006</v>
      </c>
      <c r="CP26" s="643">
        <f t="shared" si="72"/>
        <v>6142</v>
      </c>
      <c r="CQ26" s="643">
        <f t="shared" si="73"/>
        <v>335315.99400000006</v>
      </c>
      <c r="CR26" s="643">
        <f t="shared" si="74"/>
        <v>-10966</v>
      </c>
      <c r="CS26" s="643">
        <f t="shared" si="75"/>
        <v>324349.99400000006</v>
      </c>
      <c r="CT26" s="643">
        <f t="shared" si="32"/>
        <v>315448</v>
      </c>
    </row>
    <row r="27" spans="1:98" ht="12.75">
      <c r="A27" s="640">
        <v>12</v>
      </c>
      <c r="B27" s="635" t="s">
        <v>184</v>
      </c>
      <c r="C27" s="643">
        <f>+'[1]4.sz.m.Kiadások'!C9</f>
        <v>3476.6962143709097</v>
      </c>
      <c r="D27" s="643" t="e">
        <f>+'[1]4.sz.m.Kiadások'!D9</f>
        <v>#REF!</v>
      </c>
      <c r="E27" s="643">
        <f>+'[1]4.sz.m.Kiadások'!E9</f>
        <v>3476.6962143709097</v>
      </c>
      <c r="F27" s="643">
        <f>+'[1]4.sz.m.Kiadások'!F9</f>
        <v>73</v>
      </c>
      <c r="G27" s="643">
        <f>+'[1]4.sz.m.Kiadások'!G9</f>
        <v>3549.6962143709097</v>
      </c>
      <c r="H27" s="643">
        <f>+'[1]4.sz.m.Kiadások'!H9</f>
        <v>1311</v>
      </c>
      <c r="I27" s="644">
        <f t="shared" si="50"/>
        <v>0.36932737925359066</v>
      </c>
      <c r="J27" s="643">
        <v>-345</v>
      </c>
      <c r="K27" s="643">
        <f t="shared" si="76"/>
        <v>3204.6962143709097</v>
      </c>
      <c r="L27" s="643">
        <v>-132</v>
      </c>
      <c r="M27" s="643">
        <f t="shared" si="1"/>
        <v>3072.6962143709097</v>
      </c>
      <c r="N27" s="643">
        <v>-423</v>
      </c>
      <c r="O27" s="643">
        <f t="shared" si="2"/>
        <v>2649.6962143709097</v>
      </c>
      <c r="P27" s="643">
        <f>+'[1]1A. melléklet_BEVÉTEL_KIADÁS'!Q25</f>
        <v>0</v>
      </c>
      <c r="Q27" s="643">
        <f t="shared" si="3"/>
        <v>2649.6962143709097</v>
      </c>
      <c r="R27" s="643">
        <f>+'1. melléklet_BEVÉTEL_KIADÁS'!S25</f>
        <v>3824</v>
      </c>
      <c r="S27" s="643">
        <f>+'[2]4.sz.m.Kiadások'!D9</f>
        <v>28498.212797319997</v>
      </c>
      <c r="T27" s="643"/>
      <c r="U27" s="643">
        <f>+S27+T27</f>
        <v>28498.212797319997</v>
      </c>
      <c r="V27" s="643">
        <f>+'[6]1. melléklet_BEVÉTEL_KIADÁS'!$G$25</f>
        <v>175</v>
      </c>
      <c r="W27" s="643">
        <f>+U27+V27</f>
        <v>28673.212797319997</v>
      </c>
      <c r="X27" s="643">
        <f>+'[6]1. melléklet_BEVÉTEL_KIADÁS'!I25</f>
        <v>12857</v>
      </c>
      <c r="Y27" s="644">
        <f t="shared" si="52"/>
        <v>0.4483976068842103</v>
      </c>
      <c r="Z27" s="643">
        <f>+'[6]1. melléklet_BEVÉTEL_KIADÁS'!$K$25</f>
        <v>0</v>
      </c>
      <c r="AA27" s="643">
        <f t="shared" si="77"/>
        <v>28673.212797319997</v>
      </c>
      <c r="AB27" s="643">
        <v>246</v>
      </c>
      <c r="AC27" s="643">
        <f t="shared" si="4"/>
        <v>28919.212797319997</v>
      </c>
      <c r="AD27" s="643">
        <v>736</v>
      </c>
      <c r="AE27" s="643">
        <f t="shared" si="5"/>
        <v>29655.212797319997</v>
      </c>
      <c r="AF27" s="643">
        <v>42</v>
      </c>
      <c r="AG27" s="643">
        <f t="shared" si="6"/>
        <v>29697.212797319997</v>
      </c>
      <c r="AH27" s="643">
        <f>+'[11]1. melléklet_BEVÉTEL_KIADÁS'!S25</f>
        <v>25922</v>
      </c>
      <c r="AI27" s="643">
        <f>+'[3]4.sz.m.Kiadások'!$D$9</f>
        <v>25617.108999999993</v>
      </c>
      <c r="AJ27" s="643"/>
      <c r="AK27" s="643">
        <f>+AI27+AJ27</f>
        <v>25617.108999999993</v>
      </c>
      <c r="AL27" s="643">
        <f>+'[7]1. melléklet_BEVÉTEL_KIADÁS'!F26</f>
        <v>514</v>
      </c>
      <c r="AM27" s="643">
        <f>+AI27+AL27</f>
        <v>26131.108999999993</v>
      </c>
      <c r="AN27" s="643">
        <f>+'[7]1. melléklet_BEVÉTEL_KIADÁS'!H26</f>
        <v>12159</v>
      </c>
      <c r="AO27" s="644">
        <f>+AN27/AM27</f>
        <v>0.46530746169249854</v>
      </c>
      <c r="AP27" s="643">
        <v>-842</v>
      </c>
      <c r="AQ27" s="643">
        <f t="shared" si="78"/>
        <v>25289.108999999993</v>
      </c>
      <c r="AR27" s="643">
        <v>256</v>
      </c>
      <c r="AS27" s="643">
        <f t="shared" si="7"/>
        <v>25545.108999999993</v>
      </c>
      <c r="AT27" s="643">
        <v>-200</v>
      </c>
      <c r="AU27" s="643">
        <f t="shared" si="8"/>
        <v>25345.108999999993</v>
      </c>
      <c r="AV27" s="643">
        <v>-1720</v>
      </c>
      <c r="AW27" s="643">
        <f t="shared" si="9"/>
        <v>23625.108999999993</v>
      </c>
      <c r="AX27" s="643">
        <f>+'[10]1. melléklet_BEVÉTEL_KIADÁS'!$R26</f>
        <v>23603</v>
      </c>
      <c r="AY27" s="643">
        <f>+'[4]4.sz.m.Kiadások'!$D$9</f>
        <v>27022.278</v>
      </c>
      <c r="AZ27" s="643"/>
      <c r="BA27" s="643">
        <f>+AY27+AZ27</f>
        <v>27022.278</v>
      </c>
      <c r="BB27" s="643">
        <v>528</v>
      </c>
      <c r="BC27" s="643">
        <f t="shared" si="79"/>
        <v>27550.278</v>
      </c>
      <c r="BD27" s="643">
        <v>12376</v>
      </c>
      <c r="BE27" s="644">
        <f t="shared" si="53"/>
        <v>0.44921506781165693</v>
      </c>
      <c r="BF27" s="643">
        <v>-1143</v>
      </c>
      <c r="BG27" s="643">
        <f t="shared" si="80"/>
        <v>26407.278</v>
      </c>
      <c r="BH27" s="643">
        <v>288</v>
      </c>
      <c r="BI27" s="643">
        <f t="shared" si="10"/>
        <v>26695.278</v>
      </c>
      <c r="BJ27" s="643">
        <v>672</v>
      </c>
      <c r="BK27" s="643">
        <f t="shared" si="11"/>
        <v>27367.278</v>
      </c>
      <c r="BL27" s="643">
        <v>-1875</v>
      </c>
      <c r="BM27" s="643">
        <f t="shared" si="12"/>
        <v>25492.278</v>
      </c>
      <c r="BN27" s="643">
        <f>+'[12]1. melléklet_BEVÉTEL_KIADÁS'!R27</f>
        <v>25546</v>
      </c>
      <c r="BO27" s="643">
        <f>+'[5]4.sz.m.Kiadások'!$D$9</f>
        <v>3028.7908799999996</v>
      </c>
      <c r="BP27" s="643"/>
      <c r="BQ27" s="643">
        <f>+BO27+BP27</f>
        <v>3028.7908799999996</v>
      </c>
      <c r="BR27" s="643">
        <v>43</v>
      </c>
      <c r="BS27" s="643">
        <f>+BQ27+BR27</f>
        <v>3071.7908799999996</v>
      </c>
      <c r="BT27" s="643">
        <v>1435</v>
      </c>
      <c r="BU27" s="644">
        <f>+BT27/BS27</f>
        <v>0.4671541963820142</v>
      </c>
      <c r="BV27" s="643">
        <v>-87</v>
      </c>
      <c r="BW27" s="643">
        <f t="shared" si="81"/>
        <v>2984.7908799999996</v>
      </c>
      <c r="BX27" s="643">
        <v>61</v>
      </c>
      <c r="BY27" s="643">
        <f t="shared" si="13"/>
        <v>3045.7908799999996</v>
      </c>
      <c r="BZ27" s="643">
        <v>94</v>
      </c>
      <c r="CA27" s="643">
        <f t="shared" si="14"/>
        <v>3139.7908799999996</v>
      </c>
      <c r="CB27" s="643">
        <v>-235</v>
      </c>
      <c r="CC27" s="643">
        <f t="shared" si="15"/>
        <v>2904.7908799999996</v>
      </c>
      <c r="CD27" s="643">
        <f>+'[13]1. melléklet_BEVÉTEL_KIADÁS'!R25</f>
        <v>2870</v>
      </c>
      <c r="CE27" s="643">
        <f t="shared" si="62"/>
        <v>87643.0868916909</v>
      </c>
      <c r="CF27" s="643" t="e">
        <f t="shared" si="63"/>
        <v>#REF!</v>
      </c>
      <c r="CG27" s="643">
        <f t="shared" si="64"/>
        <v>87643.0868916909</v>
      </c>
      <c r="CH27" s="643">
        <f t="shared" si="65"/>
        <v>1333</v>
      </c>
      <c r="CI27" s="643">
        <f t="shared" si="66"/>
        <v>88976.0868916909</v>
      </c>
      <c r="CJ27" s="643">
        <f t="shared" si="67"/>
        <v>40138</v>
      </c>
      <c r="CK27" s="644">
        <f t="shared" si="55"/>
        <v>0.4511099712539541</v>
      </c>
      <c r="CL27" s="643">
        <f t="shared" si="68"/>
        <v>-2417</v>
      </c>
      <c r="CM27" s="643">
        <f t="shared" si="69"/>
        <v>86559.0868916909</v>
      </c>
      <c r="CN27" s="643">
        <f t="shared" si="70"/>
        <v>719</v>
      </c>
      <c r="CO27" s="643">
        <f t="shared" si="71"/>
        <v>87278.0868916909</v>
      </c>
      <c r="CP27" s="643">
        <f t="shared" si="72"/>
        <v>879</v>
      </c>
      <c r="CQ27" s="643">
        <f t="shared" si="73"/>
        <v>88157.0868916909</v>
      </c>
      <c r="CR27" s="643">
        <f t="shared" si="74"/>
        <v>-3788</v>
      </c>
      <c r="CS27" s="643">
        <f t="shared" si="75"/>
        <v>84369.0868916909</v>
      </c>
      <c r="CT27" s="643">
        <f t="shared" si="32"/>
        <v>81765</v>
      </c>
    </row>
    <row r="28" spans="1:98" ht="12.75">
      <c r="A28" s="640">
        <v>13</v>
      </c>
      <c r="B28" s="635" t="s">
        <v>185</v>
      </c>
      <c r="C28" s="643">
        <f>+'[1]4.sz.m.Kiadások'!C10</f>
        <v>99483.02973000729</v>
      </c>
      <c r="D28" s="643">
        <f>+'[1]4.sz.m.Kiadások'!D10</f>
        <v>55026</v>
      </c>
      <c r="E28" s="643">
        <f>+'[1]4.sz.m.Kiadások'!E10</f>
        <v>154509.02973000729</v>
      </c>
      <c r="F28" s="643" t="e">
        <f>+'[1]4.sz.m.Kiadások'!F10</f>
        <v>#REF!</v>
      </c>
      <c r="G28" s="643">
        <f>+'[1]4.sz.m.Kiadások'!G10</f>
        <v>154509.02973000729</v>
      </c>
      <c r="H28" s="643">
        <f>+'[1]4.sz.m.Kiadások'!H10</f>
        <v>90011</v>
      </c>
      <c r="I28" s="644">
        <f t="shared" si="50"/>
        <v>0.5825614215381932</v>
      </c>
      <c r="J28" s="643">
        <v>9286</v>
      </c>
      <c r="K28" s="643">
        <f t="shared" si="76"/>
        <v>163795.02973000729</v>
      </c>
      <c r="L28" s="643">
        <v>77213</v>
      </c>
      <c r="M28" s="643">
        <f t="shared" si="1"/>
        <v>241008.02973000729</v>
      </c>
      <c r="N28" s="643">
        <v>5080</v>
      </c>
      <c r="O28" s="643">
        <f t="shared" si="2"/>
        <v>246088.02973000729</v>
      </c>
      <c r="P28" s="643">
        <f>+'[1]1A. melléklet_BEVÉTEL_KIADÁS'!Q26</f>
        <v>-10761</v>
      </c>
      <c r="Q28" s="643">
        <f t="shared" si="3"/>
        <v>235327.02973000729</v>
      </c>
      <c r="R28" s="643">
        <f>+'1. melléklet_BEVÉTEL_KIADÁS'!S26</f>
        <v>398884</v>
      </c>
      <c r="S28" s="643">
        <f>+'[2]4.sz.m.Kiadások'!D10</f>
        <v>144160.38344432</v>
      </c>
      <c r="T28" s="643">
        <f>4607-500-30000+3000</f>
        <v>-22893</v>
      </c>
      <c r="U28" s="643">
        <f>+S28+T28</f>
        <v>121267.38344432</v>
      </c>
      <c r="V28" s="643">
        <f>+'[6]1. melléklet_BEVÉTEL_KIADÁS'!$G$26</f>
        <v>0</v>
      </c>
      <c r="W28" s="643">
        <f>+U28+V28</f>
        <v>121267.38344432</v>
      </c>
      <c r="X28" s="643">
        <f>+'[6]1. melléklet_BEVÉTEL_KIADÁS'!I26</f>
        <v>28409</v>
      </c>
      <c r="Y28" s="644">
        <f t="shared" si="52"/>
        <v>0.23426744432928256</v>
      </c>
      <c r="Z28" s="643">
        <v>-7732</v>
      </c>
      <c r="AA28" s="643">
        <f t="shared" si="77"/>
        <v>113535.38344432</v>
      </c>
      <c r="AB28" s="643">
        <v>-28722</v>
      </c>
      <c r="AC28" s="643">
        <f t="shared" si="4"/>
        <v>84813.38344432</v>
      </c>
      <c r="AD28" s="643">
        <v>-40</v>
      </c>
      <c r="AE28" s="643">
        <f t="shared" si="5"/>
        <v>84773.38344432</v>
      </c>
      <c r="AF28" s="643">
        <v>-19399</v>
      </c>
      <c r="AG28" s="643">
        <f t="shared" si="6"/>
        <v>65374.38344432</v>
      </c>
      <c r="AH28" s="643">
        <f>+'[11]1. melléklet_BEVÉTEL_KIADÁS'!S26</f>
        <v>65397</v>
      </c>
      <c r="AI28" s="643">
        <f>+'[3]4.sz.m.Kiadások'!$D$10</f>
        <v>78840.7892</v>
      </c>
      <c r="AJ28" s="643"/>
      <c r="AK28" s="643">
        <f>+AI28+AJ28</f>
        <v>78840.7892</v>
      </c>
      <c r="AL28" s="643">
        <f>+'[7]1. melléklet_BEVÉTEL_KIADÁS'!F27</f>
        <v>-68</v>
      </c>
      <c r="AM28" s="643">
        <f>+AI28+AL28</f>
        <v>78772.7892</v>
      </c>
      <c r="AN28" s="643">
        <f>+'[7]1. melléklet_BEVÉTEL_KIADÁS'!H27</f>
        <v>27817</v>
      </c>
      <c r="AO28" s="644">
        <f>+AN28/AM28</f>
        <v>0.3531295550469095</v>
      </c>
      <c r="AP28" s="643"/>
      <c r="AQ28" s="643">
        <f t="shared" si="78"/>
        <v>78772.7892</v>
      </c>
      <c r="AR28" s="643"/>
      <c r="AS28" s="643">
        <f t="shared" si="7"/>
        <v>78772.7892</v>
      </c>
      <c r="AT28" s="643"/>
      <c r="AU28" s="643">
        <f t="shared" si="8"/>
        <v>78772.7892</v>
      </c>
      <c r="AV28" s="643">
        <v>-12306</v>
      </c>
      <c r="AW28" s="643">
        <f t="shared" si="9"/>
        <v>66466.7892</v>
      </c>
      <c r="AX28" s="643">
        <f>+'[10]1. melléklet_BEVÉTEL_KIADÁS'!$R27</f>
        <v>63336</v>
      </c>
      <c r="AY28" s="643">
        <f>+'[4]4.sz.m.Kiadások'!$D$10</f>
        <v>71979.7804</v>
      </c>
      <c r="AZ28" s="643">
        <v>23</v>
      </c>
      <c r="BA28" s="643">
        <f>+AY28+AZ28</f>
        <v>72002.7804</v>
      </c>
      <c r="BB28" s="643">
        <v>-340</v>
      </c>
      <c r="BC28" s="643">
        <f t="shared" si="79"/>
        <v>71662.7804</v>
      </c>
      <c r="BD28" s="643">
        <v>29719</v>
      </c>
      <c r="BE28" s="644">
        <f t="shared" si="53"/>
        <v>0.4147062091941942</v>
      </c>
      <c r="BF28" s="643">
        <v>1720</v>
      </c>
      <c r="BG28" s="643">
        <f t="shared" si="80"/>
        <v>73382.7804</v>
      </c>
      <c r="BH28" s="643">
        <v>2900</v>
      </c>
      <c r="BI28" s="643">
        <f t="shared" si="10"/>
        <v>76282.7804</v>
      </c>
      <c r="BJ28" s="643"/>
      <c r="BK28" s="643">
        <f t="shared" si="11"/>
        <v>76282.7804</v>
      </c>
      <c r="BL28" s="643">
        <v>-9766</v>
      </c>
      <c r="BM28" s="643">
        <f t="shared" si="12"/>
        <v>66516.7804</v>
      </c>
      <c r="BN28" s="643">
        <f>+'[12]1. melléklet_BEVÉTEL_KIADÁS'!R28</f>
        <v>62138</v>
      </c>
      <c r="BO28" s="643">
        <f>+'[5]4.sz.m.Kiadások'!$D$10</f>
        <v>13507.2592</v>
      </c>
      <c r="BP28" s="643">
        <v>208</v>
      </c>
      <c r="BQ28" s="643">
        <f>+BO28+BP28</f>
        <v>13715.2592</v>
      </c>
      <c r="BR28" s="643">
        <v>585</v>
      </c>
      <c r="BS28" s="643">
        <f>+BQ28+BR28</f>
        <v>14300.2592</v>
      </c>
      <c r="BT28" s="643">
        <v>4130</v>
      </c>
      <c r="BU28" s="644">
        <f>+BT28/BS28</f>
        <v>0.2888059539508207</v>
      </c>
      <c r="BV28" s="643"/>
      <c r="BW28" s="643">
        <f t="shared" si="81"/>
        <v>14300.2592</v>
      </c>
      <c r="BX28" s="643">
        <v>1073</v>
      </c>
      <c r="BY28" s="643">
        <f t="shared" si="13"/>
        <v>15373.2592</v>
      </c>
      <c r="BZ28" s="643">
        <v>-610</v>
      </c>
      <c r="CA28" s="643">
        <f t="shared" si="14"/>
        <v>14763.2592</v>
      </c>
      <c r="CB28" s="643">
        <v>-1786</v>
      </c>
      <c r="CC28" s="643">
        <f t="shared" si="15"/>
        <v>12977.2592</v>
      </c>
      <c r="CD28" s="643">
        <f>+'[13]1. melléklet_BEVÉTEL_KIADÁS'!R26</f>
        <v>11963</v>
      </c>
      <c r="CE28" s="643">
        <f t="shared" si="62"/>
        <v>407971.24197432725</v>
      </c>
      <c r="CF28" s="643">
        <f t="shared" si="63"/>
        <v>32364</v>
      </c>
      <c r="CG28" s="643">
        <f t="shared" si="64"/>
        <v>440335.24197432725</v>
      </c>
      <c r="CH28" s="643" t="e">
        <f t="shared" si="65"/>
        <v>#REF!</v>
      </c>
      <c r="CI28" s="643">
        <f t="shared" si="66"/>
        <v>440512.24197432725</v>
      </c>
      <c r="CJ28" s="643">
        <f t="shared" si="67"/>
        <v>180086</v>
      </c>
      <c r="CK28" s="644">
        <f t="shared" si="55"/>
        <v>0.40881043212981877</v>
      </c>
      <c r="CL28" s="643">
        <f t="shared" si="68"/>
        <v>3274</v>
      </c>
      <c r="CM28" s="643">
        <f t="shared" si="69"/>
        <v>443786.24197432725</v>
      </c>
      <c r="CN28" s="643">
        <f t="shared" si="70"/>
        <v>52464</v>
      </c>
      <c r="CO28" s="643">
        <f t="shared" si="71"/>
        <v>496250.24197432725</v>
      </c>
      <c r="CP28" s="643">
        <f t="shared" si="72"/>
        <v>4430</v>
      </c>
      <c r="CQ28" s="643">
        <f t="shared" si="73"/>
        <v>500680.24197432725</v>
      </c>
      <c r="CR28" s="643">
        <f t="shared" si="74"/>
        <v>-54018</v>
      </c>
      <c r="CS28" s="643">
        <f t="shared" si="75"/>
        <v>446662.24197432725</v>
      </c>
      <c r="CT28" s="643">
        <f t="shared" si="32"/>
        <v>601718</v>
      </c>
    </row>
    <row r="29" spans="1:98" ht="12.75">
      <c r="A29" s="640">
        <v>131</v>
      </c>
      <c r="B29" s="635" t="s">
        <v>186</v>
      </c>
      <c r="C29" s="643">
        <f>+'[1]4.sz.m.Kiadások'!C17</f>
        <v>9786</v>
      </c>
      <c r="D29" s="643">
        <f>+'[1]4.sz.m.Kiadások'!D17</f>
        <v>1735</v>
      </c>
      <c r="E29" s="643">
        <f>+'[1]4.sz.m.Kiadások'!E17</f>
        <v>11521</v>
      </c>
      <c r="F29" s="643" t="e">
        <f>+'[1]4.sz.m.Kiadások'!F17</f>
        <v>#REF!</v>
      </c>
      <c r="G29" s="643">
        <f>+'[1]4.sz.m.Kiadások'!G17</f>
        <v>11521</v>
      </c>
      <c r="H29" s="643">
        <f>+'[1]4.sz.m.Kiadások'!H17</f>
        <v>4361</v>
      </c>
      <c r="I29" s="644">
        <f t="shared" si="50"/>
        <v>0.378526169603333</v>
      </c>
      <c r="J29" s="643"/>
      <c r="K29" s="643">
        <f t="shared" si="76"/>
        <v>11521</v>
      </c>
      <c r="L29" s="643"/>
      <c r="M29" s="643">
        <f t="shared" si="1"/>
        <v>11521</v>
      </c>
      <c r="N29" s="643"/>
      <c r="O29" s="643">
        <f t="shared" si="2"/>
        <v>11521</v>
      </c>
      <c r="P29" s="643">
        <f>+'[1]1A. melléklet_BEVÉTEL_KIADÁS'!Q27</f>
        <v>-5001</v>
      </c>
      <c r="Q29" s="643">
        <f t="shared" si="3"/>
        <v>6520</v>
      </c>
      <c r="R29" s="643">
        <f>+'1. melléklet_BEVÉTEL_KIADÁS'!S27</f>
        <v>12349</v>
      </c>
      <c r="S29" s="643">
        <f>+'[2]4.sz.m.Kiadások'!D17</f>
        <v>4770</v>
      </c>
      <c r="T29" s="643">
        <v>3047</v>
      </c>
      <c r="U29" s="643">
        <f>+S29+T29</f>
        <v>7817</v>
      </c>
      <c r="V29" s="643">
        <f>+'[6]1. melléklet_BEVÉTEL_KIADÁS'!$G$27</f>
        <v>2637</v>
      </c>
      <c r="W29" s="643">
        <f>+U29+V29</f>
        <v>10454</v>
      </c>
      <c r="X29" s="643">
        <f>+'[6]1. melléklet_BEVÉTEL_KIADÁS'!I27</f>
        <v>6181</v>
      </c>
      <c r="Y29" s="644">
        <f t="shared" si="52"/>
        <v>0.5912569351444423</v>
      </c>
      <c r="Z29" s="643"/>
      <c r="AA29" s="643">
        <f t="shared" si="77"/>
        <v>10454</v>
      </c>
      <c r="AB29" s="643">
        <v>2666</v>
      </c>
      <c r="AC29" s="643">
        <f t="shared" si="4"/>
        <v>13120</v>
      </c>
      <c r="AD29" s="643"/>
      <c r="AE29" s="643">
        <f t="shared" si="5"/>
        <v>13120</v>
      </c>
      <c r="AF29" s="643">
        <f>1696-42</f>
        <v>1654</v>
      </c>
      <c r="AG29" s="643">
        <f t="shared" si="6"/>
        <v>14774</v>
      </c>
      <c r="AH29" s="643">
        <f>+'[11]1. melléklet_BEVÉTEL_KIADÁS'!S27</f>
        <v>13911</v>
      </c>
      <c r="AI29" s="643">
        <f>SUM(AI30:AI34)</f>
        <v>0</v>
      </c>
      <c r="AJ29" s="643"/>
      <c r="AK29" s="643">
        <f>+AI29+AJ29</f>
        <v>0</v>
      </c>
      <c r="AL29" s="643">
        <f>+'[7]1. melléklet_BEVÉTEL_KIADÁS'!F28</f>
        <v>0</v>
      </c>
      <c r="AM29" s="643">
        <f>+AI29+AL29</f>
        <v>0</v>
      </c>
      <c r="AN29" s="643">
        <f>+'[7]1. melléklet_BEVÉTEL_KIADÁS'!H28</f>
        <v>0</v>
      </c>
      <c r="AO29" s="644"/>
      <c r="AP29" s="643"/>
      <c r="AQ29" s="643">
        <f t="shared" si="78"/>
        <v>0</v>
      </c>
      <c r="AR29" s="643"/>
      <c r="AS29" s="643">
        <f t="shared" si="7"/>
        <v>0</v>
      </c>
      <c r="AT29" s="643"/>
      <c r="AU29" s="643">
        <f t="shared" si="8"/>
        <v>0</v>
      </c>
      <c r="AV29" s="643">
        <v>5590</v>
      </c>
      <c r="AW29" s="643">
        <f t="shared" si="9"/>
        <v>5590</v>
      </c>
      <c r="AX29" s="643">
        <f>+'[10]1. melléklet_BEVÉTEL_KIADÁS'!$R28</f>
        <v>5590</v>
      </c>
      <c r="AY29" s="643">
        <f>+'[4]4.sz.m.Kiadások'!$D$17</f>
        <v>2700</v>
      </c>
      <c r="AZ29" s="643"/>
      <c r="BA29" s="643">
        <f>+AY29+AZ29</f>
        <v>2700</v>
      </c>
      <c r="BB29" s="643"/>
      <c r="BC29" s="643">
        <f t="shared" si="79"/>
        <v>2700</v>
      </c>
      <c r="BD29" s="643"/>
      <c r="BE29" s="644">
        <f t="shared" si="53"/>
        <v>0</v>
      </c>
      <c r="BF29" s="643"/>
      <c r="BG29" s="643">
        <f t="shared" si="80"/>
        <v>2700</v>
      </c>
      <c r="BH29" s="643"/>
      <c r="BI29" s="643">
        <f t="shared" si="10"/>
        <v>2700</v>
      </c>
      <c r="BJ29" s="643"/>
      <c r="BK29" s="643">
        <f t="shared" si="11"/>
        <v>2700</v>
      </c>
      <c r="BL29" s="643">
        <v>4591</v>
      </c>
      <c r="BM29" s="643">
        <f t="shared" si="12"/>
        <v>7291</v>
      </c>
      <c r="BN29" s="643">
        <f>+'[12]1. melléklet_BEVÉTEL_KIADÁS'!R29</f>
        <v>6698</v>
      </c>
      <c r="BO29" s="643">
        <f>+'[5]4.sz.m.Kiadások'!$D$17</f>
        <v>0</v>
      </c>
      <c r="BP29" s="643"/>
      <c r="BQ29" s="643">
        <f>+BO29+BP29</f>
        <v>0</v>
      </c>
      <c r="BR29" s="643"/>
      <c r="BS29" s="643">
        <f>+BQ29+BR29</f>
        <v>0</v>
      </c>
      <c r="BT29" s="643">
        <f>+BR29+BS29</f>
        <v>0</v>
      </c>
      <c r="BU29" s="644"/>
      <c r="BV29" s="643"/>
      <c r="BW29" s="643">
        <f t="shared" si="81"/>
        <v>0</v>
      </c>
      <c r="BX29" s="643"/>
      <c r="BY29" s="643">
        <f t="shared" si="13"/>
        <v>0</v>
      </c>
      <c r="BZ29" s="643"/>
      <c r="CA29" s="643">
        <f t="shared" si="14"/>
        <v>0</v>
      </c>
      <c r="CB29" s="643"/>
      <c r="CC29" s="643">
        <f t="shared" si="15"/>
        <v>0</v>
      </c>
      <c r="CD29" s="643">
        <f>+'[13]1. melléklet_BEVÉTEL_KIADÁS'!R27</f>
        <v>0</v>
      </c>
      <c r="CE29" s="643">
        <f t="shared" si="62"/>
        <v>17256</v>
      </c>
      <c r="CF29" s="643">
        <f t="shared" si="63"/>
        <v>4782</v>
      </c>
      <c r="CG29" s="643">
        <f t="shared" si="64"/>
        <v>22038</v>
      </c>
      <c r="CH29" s="643" t="e">
        <f t="shared" si="65"/>
        <v>#REF!</v>
      </c>
      <c r="CI29" s="643">
        <f t="shared" si="66"/>
        <v>24675</v>
      </c>
      <c r="CJ29" s="643">
        <f t="shared" si="67"/>
        <v>10542</v>
      </c>
      <c r="CK29" s="644">
        <f t="shared" si="55"/>
        <v>0.4272340425531915</v>
      </c>
      <c r="CL29" s="643">
        <f t="shared" si="68"/>
        <v>0</v>
      </c>
      <c r="CM29" s="643">
        <f t="shared" si="69"/>
        <v>24675</v>
      </c>
      <c r="CN29" s="643">
        <f t="shared" si="70"/>
        <v>2666</v>
      </c>
      <c r="CO29" s="643">
        <f t="shared" si="71"/>
        <v>27341</v>
      </c>
      <c r="CP29" s="643">
        <f t="shared" si="72"/>
        <v>0</v>
      </c>
      <c r="CQ29" s="643">
        <f t="shared" si="73"/>
        <v>27341</v>
      </c>
      <c r="CR29" s="643">
        <f t="shared" si="74"/>
        <v>6834</v>
      </c>
      <c r="CS29" s="643">
        <f t="shared" si="75"/>
        <v>34175</v>
      </c>
      <c r="CT29" s="643">
        <f t="shared" si="32"/>
        <v>38548</v>
      </c>
    </row>
    <row r="30" spans="1:98" ht="12.75">
      <c r="A30" s="655">
        <v>14</v>
      </c>
      <c r="B30" s="630" t="s">
        <v>187</v>
      </c>
      <c r="C30" s="623">
        <f aca="true" t="shared" si="82" ref="C30:H30">SUM(C31:C34)</f>
        <v>659512</v>
      </c>
      <c r="D30" s="623">
        <f t="shared" si="82"/>
        <v>-16704</v>
      </c>
      <c r="E30" s="623">
        <f t="shared" si="82"/>
        <v>642808</v>
      </c>
      <c r="F30" s="623">
        <f t="shared" si="82"/>
        <v>59422</v>
      </c>
      <c r="G30" s="623">
        <f t="shared" si="82"/>
        <v>702230</v>
      </c>
      <c r="H30" s="623">
        <f t="shared" si="82"/>
        <v>267722</v>
      </c>
      <c r="I30" s="624">
        <f t="shared" si="50"/>
        <v>0.38124546088888256</v>
      </c>
      <c r="J30" s="623">
        <v>-3749</v>
      </c>
      <c r="K30" s="623">
        <f t="shared" si="76"/>
        <v>698481</v>
      </c>
      <c r="L30" s="623">
        <f>SUM(L31:L34)</f>
        <v>-28469</v>
      </c>
      <c r="M30" s="623">
        <f t="shared" si="1"/>
        <v>670012</v>
      </c>
      <c r="N30" s="623">
        <f>SUM(N31:N34)</f>
        <v>11343</v>
      </c>
      <c r="O30" s="623">
        <f t="shared" si="2"/>
        <v>681355</v>
      </c>
      <c r="P30" s="623">
        <f>SUM(P31:P34)</f>
        <v>-45398</v>
      </c>
      <c r="Q30" s="623">
        <f t="shared" si="3"/>
        <v>635957</v>
      </c>
      <c r="R30" s="623">
        <f>+'1. melléklet_BEVÉTEL_KIADÁS'!S28</f>
        <v>37478</v>
      </c>
      <c r="S30" s="623">
        <f>SUM(S31:S34)</f>
        <v>0</v>
      </c>
      <c r="T30" s="623">
        <f>SUM(T31:T34)</f>
        <v>0</v>
      </c>
      <c r="U30" s="623">
        <f>SUM(U31:U34)</f>
        <v>0</v>
      </c>
      <c r="V30" s="623">
        <f>SUM(V31:V34)</f>
        <v>0</v>
      </c>
      <c r="W30" s="623">
        <f>SUM(W31:W34)</f>
        <v>0</v>
      </c>
      <c r="X30" s="623">
        <f>+'[6]1. melléklet_BEVÉTEL_KIADÁS'!I28</f>
        <v>0</v>
      </c>
      <c r="Y30" s="624"/>
      <c r="Z30" s="623">
        <f>SUM(Z31:Z34)</f>
        <v>0</v>
      </c>
      <c r="AA30" s="643">
        <f t="shared" si="77"/>
        <v>0</v>
      </c>
      <c r="AB30" s="623"/>
      <c r="AC30" s="623">
        <f t="shared" si="4"/>
        <v>0</v>
      </c>
      <c r="AD30" s="623"/>
      <c r="AE30" s="623">
        <f t="shared" si="5"/>
        <v>0</v>
      </c>
      <c r="AF30" s="623"/>
      <c r="AG30" s="623">
        <f t="shared" si="6"/>
        <v>0</v>
      </c>
      <c r="AH30" s="623">
        <f>+'[11]1. melléklet_BEVÉTEL_KIADÁS'!S28</f>
        <v>0</v>
      </c>
      <c r="AI30" s="643"/>
      <c r="AJ30" s="623">
        <f>SUM(AJ31:AJ34)</f>
        <v>0</v>
      </c>
      <c r="AK30" s="623">
        <f>SUM(AK31:AK34)</f>
        <v>0</v>
      </c>
      <c r="AL30" s="643">
        <f>+'[7]1. melléklet_BEVÉTEL_KIADÁS'!F29</f>
        <v>0</v>
      </c>
      <c r="AM30" s="643">
        <f>SUM(AM31:AM34)</f>
        <v>0</v>
      </c>
      <c r="AN30" s="643">
        <f>+'[7]1. melléklet_BEVÉTEL_KIADÁS'!H29</f>
        <v>0</v>
      </c>
      <c r="AO30" s="644"/>
      <c r="AP30" s="643">
        <f>SUM(AP31:AP34)</f>
        <v>0</v>
      </c>
      <c r="AQ30" s="643">
        <f t="shared" si="78"/>
        <v>0</v>
      </c>
      <c r="AR30" s="623"/>
      <c r="AS30" s="623">
        <f t="shared" si="7"/>
        <v>0</v>
      </c>
      <c r="AT30" s="623"/>
      <c r="AU30" s="623">
        <f t="shared" si="8"/>
        <v>0</v>
      </c>
      <c r="AV30" s="623"/>
      <c r="AW30" s="623">
        <f t="shared" si="9"/>
        <v>0</v>
      </c>
      <c r="AX30" s="623"/>
      <c r="AY30" s="643">
        <f>SUM(AY31:AY34)</f>
        <v>0</v>
      </c>
      <c r="AZ30" s="643">
        <f>SUM(AZ31:AZ34)</f>
        <v>0</v>
      </c>
      <c r="BA30" s="643">
        <f>SUM(BA31:BA34)</f>
        <v>0</v>
      </c>
      <c r="BB30" s="643">
        <f>SUM(BB31:BB34)</f>
        <v>0</v>
      </c>
      <c r="BC30" s="643">
        <f t="shared" si="79"/>
        <v>0</v>
      </c>
      <c r="BD30" s="643">
        <f>SUM(BD31:BD34)</f>
        <v>0</v>
      </c>
      <c r="BE30" s="644"/>
      <c r="BF30" s="643">
        <f>SUM(BF31:BF34)</f>
        <v>0</v>
      </c>
      <c r="BG30" s="643">
        <f t="shared" si="80"/>
        <v>0</v>
      </c>
      <c r="BH30" s="623"/>
      <c r="BI30" s="623">
        <f t="shared" si="10"/>
        <v>0</v>
      </c>
      <c r="BJ30" s="623"/>
      <c r="BK30" s="623">
        <f t="shared" si="11"/>
        <v>0</v>
      </c>
      <c r="BL30" s="623"/>
      <c r="BM30" s="623">
        <f t="shared" si="12"/>
        <v>0</v>
      </c>
      <c r="BN30" s="623">
        <f>+'[12]1. melléklet_BEVÉTEL_KIADÁS'!R30</f>
        <v>0</v>
      </c>
      <c r="BO30" s="643">
        <f aca="true" t="shared" si="83" ref="BO30:BT30">SUM(BO31:BO34)</f>
        <v>0</v>
      </c>
      <c r="BP30" s="643">
        <f t="shared" si="83"/>
        <v>0</v>
      </c>
      <c r="BQ30" s="643">
        <f t="shared" si="83"/>
        <v>0</v>
      </c>
      <c r="BR30" s="643">
        <f t="shared" si="83"/>
        <v>0</v>
      </c>
      <c r="BS30" s="643">
        <f t="shared" si="83"/>
        <v>0</v>
      </c>
      <c r="BT30" s="643">
        <f t="shared" si="83"/>
        <v>0</v>
      </c>
      <c r="BU30" s="644"/>
      <c r="BV30" s="643">
        <f>SUM(BV31:BV34)</f>
        <v>0</v>
      </c>
      <c r="BW30" s="643">
        <f t="shared" si="81"/>
        <v>0</v>
      </c>
      <c r="BX30" s="623"/>
      <c r="BY30" s="623">
        <f t="shared" si="13"/>
        <v>0</v>
      </c>
      <c r="BZ30" s="623"/>
      <c r="CA30" s="623">
        <f t="shared" si="14"/>
        <v>0</v>
      </c>
      <c r="CB30" s="623"/>
      <c r="CC30" s="623">
        <f t="shared" si="15"/>
        <v>0</v>
      </c>
      <c r="CD30" s="623">
        <f>+'[13]1. melléklet_BEVÉTEL_KIADÁS'!R28</f>
        <v>0</v>
      </c>
      <c r="CE30" s="643">
        <f t="shared" si="62"/>
        <v>659512</v>
      </c>
      <c r="CF30" s="643">
        <f t="shared" si="63"/>
        <v>-16704</v>
      </c>
      <c r="CG30" s="643">
        <f t="shared" si="64"/>
        <v>642808</v>
      </c>
      <c r="CH30" s="643">
        <f t="shared" si="65"/>
        <v>59422</v>
      </c>
      <c r="CI30" s="643">
        <f t="shared" si="66"/>
        <v>702230</v>
      </c>
      <c r="CJ30" s="643">
        <f t="shared" si="67"/>
        <v>267722</v>
      </c>
      <c r="CK30" s="644">
        <f t="shared" si="55"/>
        <v>0.38124546088888256</v>
      </c>
      <c r="CL30" s="643">
        <f t="shared" si="68"/>
        <v>-3749</v>
      </c>
      <c r="CM30" s="643">
        <f t="shared" si="69"/>
        <v>698481</v>
      </c>
      <c r="CN30" s="643">
        <f t="shared" si="70"/>
        <v>-28469</v>
      </c>
      <c r="CO30" s="643">
        <f t="shared" si="71"/>
        <v>670012</v>
      </c>
      <c r="CP30" s="643">
        <f t="shared" si="72"/>
        <v>11343</v>
      </c>
      <c r="CQ30" s="643">
        <f t="shared" si="73"/>
        <v>681355</v>
      </c>
      <c r="CR30" s="643">
        <f t="shared" si="74"/>
        <v>-45398</v>
      </c>
      <c r="CS30" s="643">
        <f t="shared" si="75"/>
        <v>635957</v>
      </c>
      <c r="CT30" s="623">
        <f t="shared" si="32"/>
        <v>37478</v>
      </c>
    </row>
    <row r="31" spans="1:98" ht="12.75">
      <c r="A31" s="640">
        <v>141</v>
      </c>
      <c r="B31" s="635" t="s">
        <v>188</v>
      </c>
      <c r="C31" s="643">
        <f>+'[1]4.sz.m.Kiadások'!$C$21</f>
        <v>21828</v>
      </c>
      <c r="D31" s="643">
        <f>+'[1]4.sz.m.Kiadások'!D21</f>
        <v>1754</v>
      </c>
      <c r="E31" s="643">
        <f>+'[1]4.sz.m.Kiadások'!E21</f>
        <v>23582</v>
      </c>
      <c r="F31" s="643">
        <f>+'[1]4.sz.m.Kiadások'!F21</f>
        <v>50669</v>
      </c>
      <c r="G31" s="643">
        <f>+'[1]4.sz.m.Kiadások'!G21</f>
        <v>74251</v>
      </c>
      <c r="H31" s="643">
        <f>+'[1]4.sz.m.Kiadások'!H21</f>
        <v>8427</v>
      </c>
      <c r="I31" s="644">
        <f t="shared" si="50"/>
        <v>0.11349342096402742</v>
      </c>
      <c r="J31" s="643">
        <v>10627</v>
      </c>
      <c r="K31" s="643">
        <f t="shared" si="76"/>
        <v>84878</v>
      </c>
      <c r="L31" s="643">
        <v>-10810</v>
      </c>
      <c r="M31" s="643">
        <f t="shared" si="1"/>
        <v>74068</v>
      </c>
      <c r="N31" s="643">
        <v>3100</v>
      </c>
      <c r="O31" s="643">
        <f t="shared" si="2"/>
        <v>77168</v>
      </c>
      <c r="P31" s="643"/>
      <c r="Q31" s="643">
        <f t="shared" si="3"/>
        <v>77168</v>
      </c>
      <c r="R31" s="643">
        <f>+'1. melléklet_BEVÉTEL_KIADÁS'!S29</f>
        <v>1337</v>
      </c>
      <c r="S31" s="643"/>
      <c r="T31" s="643"/>
      <c r="U31" s="643">
        <f aca="true" t="shared" si="84" ref="U31:U36">+S31+T31</f>
        <v>0</v>
      </c>
      <c r="V31" s="643"/>
      <c r="W31" s="643">
        <f aca="true" t="shared" si="85" ref="W31:W36">+U31+V31</f>
        <v>0</v>
      </c>
      <c r="X31" s="643">
        <f>+'[6]1. melléklet_BEVÉTEL_KIADÁS'!I29</f>
        <v>0</v>
      </c>
      <c r="Y31" s="644"/>
      <c r="Z31" s="643"/>
      <c r="AA31" s="643">
        <f t="shared" si="77"/>
        <v>0</v>
      </c>
      <c r="AB31" s="643"/>
      <c r="AC31" s="643">
        <f t="shared" si="4"/>
        <v>0</v>
      </c>
      <c r="AD31" s="643"/>
      <c r="AE31" s="643">
        <f t="shared" si="5"/>
        <v>0</v>
      </c>
      <c r="AF31" s="643"/>
      <c r="AG31" s="643">
        <f t="shared" si="6"/>
        <v>0</v>
      </c>
      <c r="AH31" s="643">
        <f>+'[11]1. melléklet_BEVÉTEL_KIADÁS'!S29</f>
        <v>0</v>
      </c>
      <c r="AI31" s="643"/>
      <c r="AJ31" s="643"/>
      <c r="AK31" s="643">
        <f aca="true" t="shared" si="86" ref="AK31:AK36">+AI31+AJ31</f>
        <v>0</v>
      </c>
      <c r="AL31" s="643"/>
      <c r="AM31" s="643">
        <f aca="true" t="shared" si="87" ref="AM31:AM36">+AI31+AL31</f>
        <v>0</v>
      </c>
      <c r="AN31" s="643"/>
      <c r="AO31" s="644"/>
      <c r="AP31" s="643"/>
      <c r="AQ31" s="643">
        <f t="shared" si="78"/>
        <v>0</v>
      </c>
      <c r="AR31" s="643"/>
      <c r="AS31" s="643">
        <f t="shared" si="7"/>
        <v>0</v>
      </c>
      <c r="AT31" s="643"/>
      <c r="AU31" s="643">
        <f t="shared" si="8"/>
        <v>0</v>
      </c>
      <c r="AV31" s="643"/>
      <c r="AW31" s="643">
        <f t="shared" si="9"/>
        <v>0</v>
      </c>
      <c r="AX31" s="643"/>
      <c r="AY31" s="643"/>
      <c r="AZ31" s="643"/>
      <c r="BA31" s="643">
        <f aca="true" t="shared" si="88" ref="BA31:BA39">+AY31+AZ31</f>
        <v>0</v>
      </c>
      <c r="BB31" s="643"/>
      <c r="BC31" s="643">
        <f t="shared" si="79"/>
        <v>0</v>
      </c>
      <c r="BD31" s="643"/>
      <c r="BE31" s="644"/>
      <c r="BF31" s="643"/>
      <c r="BG31" s="643">
        <f t="shared" si="80"/>
        <v>0</v>
      </c>
      <c r="BH31" s="643"/>
      <c r="BI31" s="643">
        <f t="shared" si="10"/>
        <v>0</v>
      </c>
      <c r="BJ31" s="643"/>
      <c r="BK31" s="643">
        <f t="shared" si="11"/>
        <v>0</v>
      </c>
      <c r="BL31" s="643"/>
      <c r="BM31" s="643">
        <f t="shared" si="12"/>
        <v>0</v>
      </c>
      <c r="BN31" s="643">
        <f>+'[12]1. melléklet_BEVÉTEL_KIADÁS'!R31</f>
        <v>0</v>
      </c>
      <c r="BO31" s="643"/>
      <c r="BP31" s="643"/>
      <c r="BQ31" s="643">
        <f aca="true" t="shared" si="89" ref="BQ31:BQ36">+BO31+BP31</f>
        <v>0</v>
      </c>
      <c r="BR31" s="643"/>
      <c r="BS31" s="643">
        <f aca="true" t="shared" si="90" ref="BS31:BT36">+BQ31+BR31</f>
        <v>0</v>
      </c>
      <c r="BT31" s="643">
        <f t="shared" si="90"/>
        <v>0</v>
      </c>
      <c r="BU31" s="644"/>
      <c r="BV31" s="643"/>
      <c r="BW31" s="643">
        <f t="shared" si="81"/>
        <v>0</v>
      </c>
      <c r="BX31" s="643"/>
      <c r="BY31" s="643">
        <f t="shared" si="13"/>
        <v>0</v>
      </c>
      <c r="BZ31" s="643"/>
      <c r="CA31" s="643">
        <f t="shared" si="14"/>
        <v>0</v>
      </c>
      <c r="CB31" s="643"/>
      <c r="CC31" s="643">
        <f t="shared" si="15"/>
        <v>0</v>
      </c>
      <c r="CD31" s="643">
        <f>+'[13]1. melléklet_BEVÉTEL_KIADÁS'!R29</f>
        <v>0</v>
      </c>
      <c r="CE31" s="643">
        <f t="shared" si="62"/>
        <v>21828</v>
      </c>
      <c r="CF31" s="643">
        <f t="shared" si="63"/>
        <v>1754</v>
      </c>
      <c r="CG31" s="643">
        <f t="shared" si="64"/>
        <v>23582</v>
      </c>
      <c r="CH31" s="643">
        <f t="shared" si="65"/>
        <v>50669</v>
      </c>
      <c r="CI31" s="643">
        <f t="shared" si="66"/>
        <v>74251</v>
      </c>
      <c r="CJ31" s="643">
        <f t="shared" si="67"/>
        <v>8427</v>
      </c>
      <c r="CK31" s="644">
        <f t="shared" si="55"/>
        <v>0.11349342096402742</v>
      </c>
      <c r="CL31" s="643">
        <f t="shared" si="68"/>
        <v>10627</v>
      </c>
      <c r="CM31" s="643">
        <f t="shared" si="69"/>
        <v>84878</v>
      </c>
      <c r="CN31" s="643">
        <f t="shared" si="70"/>
        <v>-10810</v>
      </c>
      <c r="CO31" s="643">
        <f t="shared" si="71"/>
        <v>74068</v>
      </c>
      <c r="CP31" s="643">
        <f t="shared" si="72"/>
        <v>3100</v>
      </c>
      <c r="CQ31" s="643">
        <f t="shared" si="73"/>
        <v>77168</v>
      </c>
      <c r="CR31" s="643">
        <f t="shared" si="74"/>
        <v>0</v>
      </c>
      <c r="CS31" s="643">
        <f t="shared" si="75"/>
        <v>77168</v>
      </c>
      <c r="CT31" s="643">
        <f t="shared" si="32"/>
        <v>1337</v>
      </c>
    </row>
    <row r="32" spans="1:98" ht="12.75">
      <c r="A32" s="640">
        <v>142</v>
      </c>
      <c r="B32" s="635" t="s">
        <v>173</v>
      </c>
      <c r="C32" s="643">
        <f>+'[1]1A. melléklet_BEVÉTEL_KIADÁS'!D30</f>
        <v>637684</v>
      </c>
      <c r="D32" s="643">
        <f>+'[1]1A. melléklet_BEVÉTEL_KIADÁS'!E30</f>
        <v>-18458</v>
      </c>
      <c r="E32" s="643">
        <f>+'[1]1A. melléklet_BEVÉTEL_KIADÁS'!F30</f>
        <v>619226</v>
      </c>
      <c r="F32" s="643">
        <f>+'[1]4.sz.m.Kiadások'!F19</f>
        <v>8753</v>
      </c>
      <c r="G32" s="643">
        <f>+'[1]4.sz.m.Kiadások'!G19</f>
        <v>627979</v>
      </c>
      <c r="H32" s="643">
        <f>+'[1]4.sz.m.Kiadások'!H19</f>
        <v>259295</v>
      </c>
      <c r="I32" s="644">
        <f t="shared" si="50"/>
        <v>0.412903934685714</v>
      </c>
      <c r="J32" s="643">
        <v>-14376</v>
      </c>
      <c r="K32" s="643">
        <f t="shared" si="76"/>
        <v>613603</v>
      </c>
      <c r="L32" s="643">
        <v>-17659</v>
      </c>
      <c r="M32" s="643">
        <f t="shared" si="1"/>
        <v>595944</v>
      </c>
      <c r="N32" s="643">
        <f>8370-127</f>
        <v>8243</v>
      </c>
      <c r="O32" s="643">
        <f t="shared" si="2"/>
        <v>604187</v>
      </c>
      <c r="P32" s="643">
        <f>+'[1]1A. melléklet_BEVÉTEL_KIADÁS'!Q30</f>
        <v>-45398</v>
      </c>
      <c r="Q32" s="643">
        <f t="shared" si="3"/>
        <v>558789</v>
      </c>
      <c r="R32" s="643">
        <f>+'1. melléklet_BEVÉTEL_KIADÁS'!S30</f>
        <v>356551</v>
      </c>
      <c r="S32" s="643"/>
      <c r="T32" s="643"/>
      <c r="U32" s="643">
        <f t="shared" si="84"/>
        <v>0</v>
      </c>
      <c r="V32" s="643"/>
      <c r="W32" s="643">
        <f t="shared" si="85"/>
        <v>0</v>
      </c>
      <c r="X32" s="643">
        <f>+'[6]1. melléklet_BEVÉTEL_KIADÁS'!I30</f>
        <v>0</v>
      </c>
      <c r="Y32" s="644"/>
      <c r="Z32" s="643"/>
      <c r="AA32" s="643">
        <f t="shared" si="77"/>
        <v>0</v>
      </c>
      <c r="AB32" s="643"/>
      <c r="AC32" s="643">
        <f t="shared" si="4"/>
        <v>0</v>
      </c>
      <c r="AD32" s="643"/>
      <c r="AE32" s="643">
        <f t="shared" si="5"/>
        <v>0</v>
      </c>
      <c r="AF32" s="643"/>
      <c r="AG32" s="643">
        <f t="shared" si="6"/>
        <v>0</v>
      </c>
      <c r="AH32" s="643">
        <f>+'[11]1. melléklet_BEVÉTEL_KIADÁS'!S30</f>
        <v>0</v>
      </c>
      <c r="AI32" s="643"/>
      <c r="AJ32" s="643"/>
      <c r="AK32" s="643">
        <f t="shared" si="86"/>
        <v>0</v>
      </c>
      <c r="AL32" s="643"/>
      <c r="AM32" s="643">
        <f t="shared" si="87"/>
        <v>0</v>
      </c>
      <c r="AN32" s="643"/>
      <c r="AO32" s="644"/>
      <c r="AP32" s="643"/>
      <c r="AQ32" s="643">
        <f t="shared" si="78"/>
        <v>0</v>
      </c>
      <c r="AR32" s="643"/>
      <c r="AS32" s="643">
        <f t="shared" si="7"/>
        <v>0</v>
      </c>
      <c r="AT32" s="643"/>
      <c r="AU32" s="643">
        <f t="shared" si="8"/>
        <v>0</v>
      </c>
      <c r="AV32" s="643"/>
      <c r="AW32" s="643">
        <f t="shared" si="9"/>
        <v>0</v>
      </c>
      <c r="AX32" s="643"/>
      <c r="AY32" s="643"/>
      <c r="AZ32" s="643"/>
      <c r="BA32" s="643">
        <f t="shared" si="88"/>
        <v>0</v>
      </c>
      <c r="BB32" s="643"/>
      <c r="BC32" s="643">
        <f t="shared" si="79"/>
        <v>0</v>
      </c>
      <c r="BD32" s="643"/>
      <c r="BE32" s="644"/>
      <c r="BF32" s="643"/>
      <c r="BG32" s="643">
        <f t="shared" si="80"/>
        <v>0</v>
      </c>
      <c r="BH32" s="643"/>
      <c r="BI32" s="643">
        <f t="shared" si="10"/>
        <v>0</v>
      </c>
      <c r="BJ32" s="643"/>
      <c r="BK32" s="643">
        <f t="shared" si="11"/>
        <v>0</v>
      </c>
      <c r="BL32" s="643"/>
      <c r="BM32" s="643">
        <f t="shared" si="12"/>
        <v>0</v>
      </c>
      <c r="BN32" s="643">
        <f>+'[12]1. melléklet_BEVÉTEL_KIADÁS'!R32</f>
        <v>0</v>
      </c>
      <c r="BO32" s="643"/>
      <c r="BP32" s="643"/>
      <c r="BQ32" s="643">
        <f t="shared" si="89"/>
        <v>0</v>
      </c>
      <c r="BR32" s="643"/>
      <c r="BS32" s="643">
        <f t="shared" si="90"/>
        <v>0</v>
      </c>
      <c r="BT32" s="643">
        <f t="shared" si="90"/>
        <v>0</v>
      </c>
      <c r="BU32" s="644"/>
      <c r="BV32" s="643"/>
      <c r="BW32" s="643">
        <f t="shared" si="81"/>
        <v>0</v>
      </c>
      <c r="BX32" s="643"/>
      <c r="BY32" s="643">
        <f t="shared" si="13"/>
        <v>0</v>
      </c>
      <c r="BZ32" s="643"/>
      <c r="CA32" s="643">
        <f t="shared" si="14"/>
        <v>0</v>
      </c>
      <c r="CB32" s="643"/>
      <c r="CC32" s="643">
        <f t="shared" si="15"/>
        <v>0</v>
      </c>
      <c r="CD32" s="643">
        <f>+'[13]1. melléklet_BEVÉTEL_KIADÁS'!R30</f>
        <v>0</v>
      </c>
      <c r="CE32" s="643">
        <f t="shared" si="62"/>
        <v>637684</v>
      </c>
      <c r="CF32" s="643">
        <f t="shared" si="63"/>
        <v>-18458</v>
      </c>
      <c r="CG32" s="643">
        <f t="shared" si="64"/>
        <v>619226</v>
      </c>
      <c r="CH32" s="643">
        <f t="shared" si="65"/>
        <v>8753</v>
      </c>
      <c r="CI32" s="643">
        <f t="shared" si="66"/>
        <v>627979</v>
      </c>
      <c r="CJ32" s="643">
        <f t="shared" si="67"/>
        <v>259295</v>
      </c>
      <c r="CK32" s="644">
        <f t="shared" si="55"/>
        <v>0.412903934685714</v>
      </c>
      <c r="CL32" s="643">
        <f t="shared" si="68"/>
        <v>-14376</v>
      </c>
      <c r="CM32" s="643">
        <f t="shared" si="69"/>
        <v>613603</v>
      </c>
      <c r="CN32" s="643">
        <f t="shared" si="70"/>
        <v>-17659</v>
      </c>
      <c r="CO32" s="643">
        <f t="shared" si="71"/>
        <v>595944</v>
      </c>
      <c r="CP32" s="643">
        <f t="shared" si="72"/>
        <v>8243</v>
      </c>
      <c r="CQ32" s="643">
        <f t="shared" si="73"/>
        <v>604187</v>
      </c>
      <c r="CR32" s="643">
        <f t="shared" si="74"/>
        <v>-45398</v>
      </c>
      <c r="CS32" s="643">
        <f t="shared" si="75"/>
        <v>558789</v>
      </c>
      <c r="CT32" s="643">
        <f t="shared" si="32"/>
        <v>356551</v>
      </c>
    </row>
    <row r="33" spans="1:98" ht="12.75">
      <c r="A33" s="642">
        <v>144</v>
      </c>
      <c r="B33" s="635" t="s">
        <v>189</v>
      </c>
      <c r="C33" s="643"/>
      <c r="D33" s="643"/>
      <c r="E33" s="643"/>
      <c r="F33" s="643"/>
      <c r="G33" s="643"/>
      <c r="H33" s="643"/>
      <c r="I33" s="644"/>
      <c r="J33" s="643"/>
      <c r="K33" s="643">
        <f t="shared" si="76"/>
        <v>0</v>
      </c>
      <c r="L33" s="643"/>
      <c r="M33" s="643">
        <f t="shared" si="1"/>
        <v>0</v>
      </c>
      <c r="N33" s="643"/>
      <c r="O33" s="643">
        <f t="shared" si="2"/>
        <v>0</v>
      </c>
      <c r="P33" s="643"/>
      <c r="Q33" s="643">
        <f t="shared" si="3"/>
        <v>0</v>
      </c>
      <c r="R33" s="643">
        <f>+'1. melléklet_BEVÉTEL_KIADÁS'!S31</f>
        <v>1500</v>
      </c>
      <c r="S33" s="643"/>
      <c r="T33" s="643"/>
      <c r="U33" s="643">
        <f t="shared" si="84"/>
        <v>0</v>
      </c>
      <c r="V33" s="643"/>
      <c r="W33" s="643">
        <f t="shared" si="85"/>
        <v>0</v>
      </c>
      <c r="X33" s="643">
        <f>+'[6]1. melléklet_BEVÉTEL_KIADÁS'!I31</f>
        <v>0</v>
      </c>
      <c r="Y33" s="644"/>
      <c r="Z33" s="643"/>
      <c r="AA33" s="643">
        <f t="shared" si="77"/>
        <v>0</v>
      </c>
      <c r="AB33" s="643"/>
      <c r="AC33" s="643">
        <f t="shared" si="4"/>
        <v>0</v>
      </c>
      <c r="AD33" s="643"/>
      <c r="AE33" s="643">
        <f t="shared" si="5"/>
        <v>0</v>
      </c>
      <c r="AF33" s="643"/>
      <c r="AG33" s="643">
        <f t="shared" si="6"/>
        <v>0</v>
      </c>
      <c r="AH33" s="643">
        <f>+'[11]1. melléklet_BEVÉTEL_KIADÁS'!S31</f>
        <v>0</v>
      </c>
      <c r="AI33" s="643"/>
      <c r="AJ33" s="643"/>
      <c r="AK33" s="643">
        <f t="shared" si="86"/>
        <v>0</v>
      </c>
      <c r="AL33" s="643"/>
      <c r="AM33" s="643">
        <f t="shared" si="87"/>
        <v>0</v>
      </c>
      <c r="AN33" s="643"/>
      <c r="AO33" s="644"/>
      <c r="AP33" s="643"/>
      <c r="AQ33" s="643">
        <f t="shared" si="78"/>
        <v>0</v>
      </c>
      <c r="AR33" s="643"/>
      <c r="AS33" s="643">
        <f t="shared" si="7"/>
        <v>0</v>
      </c>
      <c r="AT33" s="643"/>
      <c r="AU33" s="643">
        <f t="shared" si="8"/>
        <v>0</v>
      </c>
      <c r="AV33" s="643"/>
      <c r="AW33" s="643">
        <f t="shared" si="9"/>
        <v>0</v>
      </c>
      <c r="AX33" s="643"/>
      <c r="AY33" s="643"/>
      <c r="AZ33" s="643"/>
      <c r="BA33" s="643">
        <f t="shared" si="88"/>
        <v>0</v>
      </c>
      <c r="BB33" s="643"/>
      <c r="BC33" s="643">
        <f t="shared" si="79"/>
        <v>0</v>
      </c>
      <c r="BD33" s="643"/>
      <c r="BE33" s="644"/>
      <c r="BF33" s="643"/>
      <c r="BG33" s="643">
        <f t="shared" si="80"/>
        <v>0</v>
      </c>
      <c r="BH33" s="643"/>
      <c r="BI33" s="643">
        <f t="shared" si="10"/>
        <v>0</v>
      </c>
      <c r="BJ33" s="643"/>
      <c r="BK33" s="643">
        <f t="shared" si="11"/>
        <v>0</v>
      </c>
      <c r="BL33" s="643"/>
      <c r="BM33" s="643">
        <f t="shared" si="12"/>
        <v>0</v>
      </c>
      <c r="BN33" s="643">
        <f>+'[12]1. melléklet_BEVÉTEL_KIADÁS'!R33</f>
        <v>0</v>
      </c>
      <c r="BO33" s="643"/>
      <c r="BP33" s="643"/>
      <c r="BQ33" s="643">
        <f t="shared" si="89"/>
        <v>0</v>
      </c>
      <c r="BR33" s="643"/>
      <c r="BS33" s="643">
        <f t="shared" si="90"/>
        <v>0</v>
      </c>
      <c r="BT33" s="643">
        <f t="shared" si="90"/>
        <v>0</v>
      </c>
      <c r="BU33" s="644"/>
      <c r="BV33" s="643"/>
      <c r="BW33" s="643">
        <f t="shared" si="81"/>
        <v>0</v>
      </c>
      <c r="BX33" s="643"/>
      <c r="BY33" s="643">
        <f t="shared" si="13"/>
        <v>0</v>
      </c>
      <c r="BZ33" s="643"/>
      <c r="CA33" s="643">
        <f t="shared" si="14"/>
        <v>0</v>
      </c>
      <c r="CB33" s="643"/>
      <c r="CC33" s="643">
        <f t="shared" si="15"/>
        <v>0</v>
      </c>
      <c r="CD33" s="643">
        <f>+'[13]1. melléklet_BEVÉTEL_KIADÁS'!R31</f>
        <v>0</v>
      </c>
      <c r="CE33" s="643">
        <f t="shared" si="62"/>
        <v>0</v>
      </c>
      <c r="CF33" s="643">
        <f t="shared" si="63"/>
        <v>0</v>
      </c>
      <c r="CG33" s="643">
        <f t="shared" si="64"/>
        <v>0</v>
      </c>
      <c r="CH33" s="643">
        <f t="shared" si="65"/>
        <v>0</v>
      </c>
      <c r="CI33" s="643">
        <f t="shared" si="66"/>
        <v>0</v>
      </c>
      <c r="CJ33" s="643">
        <f t="shared" si="67"/>
        <v>0</v>
      </c>
      <c r="CK33" s="644"/>
      <c r="CL33" s="643">
        <f t="shared" si="68"/>
        <v>0</v>
      </c>
      <c r="CM33" s="643">
        <f t="shared" si="69"/>
        <v>0</v>
      </c>
      <c r="CN33" s="643">
        <f t="shared" si="70"/>
        <v>0</v>
      </c>
      <c r="CO33" s="643">
        <f t="shared" si="71"/>
        <v>0</v>
      </c>
      <c r="CP33" s="643">
        <f t="shared" si="72"/>
        <v>0</v>
      </c>
      <c r="CQ33" s="643">
        <f t="shared" si="73"/>
        <v>0</v>
      </c>
      <c r="CR33" s="643">
        <f t="shared" si="74"/>
        <v>0</v>
      </c>
      <c r="CS33" s="643">
        <f t="shared" si="75"/>
        <v>0</v>
      </c>
      <c r="CT33" s="643">
        <f t="shared" si="32"/>
        <v>1500</v>
      </c>
    </row>
    <row r="34" spans="1:98" ht="12.75">
      <c r="A34" s="642">
        <v>145</v>
      </c>
      <c r="B34" s="635" t="s">
        <v>190</v>
      </c>
      <c r="C34" s="643"/>
      <c r="D34" s="643"/>
      <c r="E34" s="643"/>
      <c r="F34" s="643"/>
      <c r="G34" s="643"/>
      <c r="H34" s="643"/>
      <c r="I34" s="644"/>
      <c r="J34" s="643"/>
      <c r="K34" s="643">
        <f t="shared" si="76"/>
        <v>0</v>
      </c>
      <c r="L34" s="643"/>
      <c r="M34" s="643">
        <f t="shared" si="1"/>
        <v>0</v>
      </c>
      <c r="N34" s="643"/>
      <c r="O34" s="643">
        <f t="shared" si="2"/>
        <v>0</v>
      </c>
      <c r="P34" s="643"/>
      <c r="Q34" s="643">
        <f t="shared" si="3"/>
        <v>0</v>
      </c>
      <c r="R34" s="643">
        <f>+'1. melléklet_BEVÉTEL_KIADÁS'!S32</f>
        <v>0</v>
      </c>
      <c r="S34" s="643"/>
      <c r="T34" s="643"/>
      <c r="U34" s="643">
        <f t="shared" si="84"/>
        <v>0</v>
      </c>
      <c r="V34" s="643"/>
      <c r="W34" s="643">
        <f t="shared" si="85"/>
        <v>0</v>
      </c>
      <c r="X34" s="643">
        <f>+'[6]1. melléklet_BEVÉTEL_KIADÁS'!I32</f>
        <v>0</v>
      </c>
      <c r="Y34" s="644"/>
      <c r="Z34" s="643"/>
      <c r="AA34" s="643">
        <f t="shared" si="77"/>
        <v>0</v>
      </c>
      <c r="AB34" s="643"/>
      <c r="AC34" s="643">
        <f t="shared" si="4"/>
        <v>0</v>
      </c>
      <c r="AD34" s="643"/>
      <c r="AE34" s="643">
        <f t="shared" si="5"/>
        <v>0</v>
      </c>
      <c r="AF34" s="643"/>
      <c r="AG34" s="643">
        <f t="shared" si="6"/>
        <v>0</v>
      </c>
      <c r="AH34" s="643">
        <f>+'[11]1. melléklet_BEVÉTEL_KIADÁS'!S32</f>
        <v>0</v>
      </c>
      <c r="AI34" s="643"/>
      <c r="AJ34" s="643"/>
      <c r="AK34" s="643">
        <f t="shared" si="86"/>
        <v>0</v>
      </c>
      <c r="AL34" s="643"/>
      <c r="AM34" s="643">
        <f t="shared" si="87"/>
        <v>0</v>
      </c>
      <c r="AN34" s="643"/>
      <c r="AO34" s="644"/>
      <c r="AP34" s="643"/>
      <c r="AQ34" s="643">
        <f t="shared" si="78"/>
        <v>0</v>
      </c>
      <c r="AR34" s="643"/>
      <c r="AS34" s="643">
        <f t="shared" si="7"/>
        <v>0</v>
      </c>
      <c r="AT34" s="643"/>
      <c r="AU34" s="643">
        <f t="shared" si="8"/>
        <v>0</v>
      </c>
      <c r="AV34" s="643"/>
      <c r="AW34" s="643">
        <f t="shared" si="9"/>
        <v>0</v>
      </c>
      <c r="AX34" s="643"/>
      <c r="AY34" s="643"/>
      <c r="AZ34" s="643"/>
      <c r="BA34" s="643">
        <f t="shared" si="88"/>
        <v>0</v>
      </c>
      <c r="BB34" s="643"/>
      <c r="BC34" s="643">
        <f t="shared" si="79"/>
        <v>0</v>
      </c>
      <c r="BD34" s="643"/>
      <c r="BE34" s="644"/>
      <c r="BF34" s="643"/>
      <c r="BG34" s="643">
        <f t="shared" si="80"/>
        <v>0</v>
      </c>
      <c r="BH34" s="643"/>
      <c r="BI34" s="643">
        <f t="shared" si="10"/>
        <v>0</v>
      </c>
      <c r="BJ34" s="643"/>
      <c r="BK34" s="643">
        <f t="shared" si="11"/>
        <v>0</v>
      </c>
      <c r="BL34" s="643"/>
      <c r="BM34" s="643">
        <f t="shared" si="12"/>
        <v>0</v>
      </c>
      <c r="BN34" s="643">
        <f>+'[12]1. melléklet_BEVÉTEL_KIADÁS'!R34</f>
        <v>0</v>
      </c>
      <c r="BO34" s="643"/>
      <c r="BP34" s="643"/>
      <c r="BQ34" s="643">
        <f t="shared" si="89"/>
        <v>0</v>
      </c>
      <c r="BR34" s="643"/>
      <c r="BS34" s="643">
        <f t="shared" si="90"/>
        <v>0</v>
      </c>
      <c r="BT34" s="643">
        <f t="shared" si="90"/>
        <v>0</v>
      </c>
      <c r="BU34" s="644"/>
      <c r="BV34" s="643"/>
      <c r="BW34" s="643">
        <f t="shared" si="81"/>
        <v>0</v>
      </c>
      <c r="BX34" s="643"/>
      <c r="BY34" s="643">
        <f t="shared" si="13"/>
        <v>0</v>
      </c>
      <c r="BZ34" s="643"/>
      <c r="CA34" s="643">
        <f t="shared" si="14"/>
        <v>0</v>
      </c>
      <c r="CB34" s="643"/>
      <c r="CC34" s="643">
        <f t="shared" si="15"/>
        <v>0</v>
      </c>
      <c r="CD34" s="643">
        <f>+'[13]1. melléklet_BEVÉTEL_KIADÁS'!R32</f>
        <v>0</v>
      </c>
      <c r="CE34" s="643">
        <f t="shared" si="62"/>
        <v>0</v>
      </c>
      <c r="CF34" s="643">
        <f t="shared" si="63"/>
        <v>0</v>
      </c>
      <c r="CG34" s="643">
        <f t="shared" si="64"/>
        <v>0</v>
      </c>
      <c r="CH34" s="643">
        <f t="shared" si="65"/>
        <v>0</v>
      </c>
      <c r="CI34" s="643">
        <f t="shared" si="66"/>
        <v>0</v>
      </c>
      <c r="CJ34" s="643">
        <f t="shared" si="67"/>
        <v>0</v>
      </c>
      <c r="CK34" s="644"/>
      <c r="CL34" s="643">
        <f t="shared" si="68"/>
        <v>0</v>
      </c>
      <c r="CM34" s="643">
        <f t="shared" si="69"/>
        <v>0</v>
      </c>
      <c r="CN34" s="643">
        <f t="shared" si="70"/>
        <v>0</v>
      </c>
      <c r="CO34" s="643">
        <f t="shared" si="71"/>
        <v>0</v>
      </c>
      <c r="CP34" s="643">
        <f t="shared" si="72"/>
        <v>0</v>
      </c>
      <c r="CQ34" s="643">
        <f t="shared" si="73"/>
        <v>0</v>
      </c>
      <c r="CR34" s="643">
        <f t="shared" si="74"/>
        <v>0</v>
      </c>
      <c r="CS34" s="643">
        <f t="shared" si="75"/>
        <v>0</v>
      </c>
      <c r="CT34" s="643">
        <f t="shared" si="32"/>
        <v>0</v>
      </c>
    </row>
    <row r="35" spans="1:98" ht="12.75">
      <c r="A35" s="627">
        <v>15</v>
      </c>
      <c r="B35" s="628" t="s">
        <v>191</v>
      </c>
      <c r="C35" s="631">
        <f>+'[1]4.sz.m.Kiadások'!C28</f>
        <v>92219.78</v>
      </c>
      <c r="D35" s="631">
        <f>+'[1]4.sz.m.Kiadások'!D28</f>
        <v>2500</v>
      </c>
      <c r="E35" s="631">
        <f>+'[1]4.sz.m.Kiadások'!E28</f>
        <v>94719.78</v>
      </c>
      <c r="F35" s="631" t="e">
        <f>+'[1]4.sz.m.Kiadások'!F28</f>
        <v>#REF!</v>
      </c>
      <c r="G35" s="631">
        <f>+'[1]4.sz.m.Kiadások'!G28</f>
        <v>94719.78</v>
      </c>
      <c r="H35" s="631">
        <f>+'[1]4.sz.m.Kiadások'!H28</f>
        <v>7294</v>
      </c>
      <c r="I35" s="632">
        <f>+H35/G35</f>
        <v>0.07700609101921478</v>
      </c>
      <c r="J35" s="631"/>
      <c r="K35" s="631">
        <f t="shared" si="76"/>
        <v>94719.78</v>
      </c>
      <c r="L35" s="631">
        <v>-16126</v>
      </c>
      <c r="M35" s="631">
        <f t="shared" si="1"/>
        <v>78593.78</v>
      </c>
      <c r="N35" s="631">
        <v>-22700</v>
      </c>
      <c r="O35" s="631">
        <f t="shared" si="2"/>
        <v>55893.78</v>
      </c>
      <c r="P35" s="631">
        <f>+'[1]1A. melléklet_BEVÉTEL_KIADÁS'!Q33</f>
        <v>2728</v>
      </c>
      <c r="Q35" s="631">
        <f t="shared" si="3"/>
        <v>58621.78</v>
      </c>
      <c r="R35" s="631">
        <f>+'1. melléklet_BEVÉTEL_KIADÁS'!S33</f>
        <v>0</v>
      </c>
      <c r="S35" s="631"/>
      <c r="T35" s="631"/>
      <c r="U35" s="631">
        <f t="shared" si="84"/>
        <v>0</v>
      </c>
      <c r="V35" s="631"/>
      <c r="W35" s="631">
        <f t="shared" si="85"/>
        <v>0</v>
      </c>
      <c r="X35" s="631">
        <f>+'[6]1. melléklet_BEVÉTEL_KIADÁS'!I33</f>
        <v>0</v>
      </c>
      <c r="Y35" s="632"/>
      <c r="Z35" s="631"/>
      <c r="AA35" s="643">
        <f t="shared" si="77"/>
        <v>0</v>
      </c>
      <c r="AB35" s="631"/>
      <c r="AC35" s="631">
        <f t="shared" si="4"/>
        <v>0</v>
      </c>
      <c r="AD35" s="631"/>
      <c r="AE35" s="631">
        <f t="shared" si="5"/>
        <v>0</v>
      </c>
      <c r="AF35" s="631"/>
      <c r="AG35" s="631">
        <f t="shared" si="6"/>
        <v>0</v>
      </c>
      <c r="AH35" s="631">
        <f>+'[11]1. melléklet_BEVÉTEL_KIADÁS'!S33</f>
        <v>0</v>
      </c>
      <c r="AI35" s="643"/>
      <c r="AJ35" s="631"/>
      <c r="AK35" s="631">
        <f t="shared" si="86"/>
        <v>0</v>
      </c>
      <c r="AL35" s="643"/>
      <c r="AM35" s="643">
        <f t="shared" si="87"/>
        <v>0</v>
      </c>
      <c r="AN35" s="643"/>
      <c r="AO35" s="644"/>
      <c r="AP35" s="643"/>
      <c r="AQ35" s="643">
        <f t="shared" si="78"/>
        <v>0</v>
      </c>
      <c r="AR35" s="631"/>
      <c r="AS35" s="631">
        <f t="shared" si="7"/>
        <v>0</v>
      </c>
      <c r="AT35" s="631"/>
      <c r="AU35" s="631">
        <f t="shared" si="8"/>
        <v>0</v>
      </c>
      <c r="AV35" s="631"/>
      <c r="AW35" s="631">
        <f t="shared" si="9"/>
        <v>0</v>
      </c>
      <c r="AX35" s="631"/>
      <c r="AY35" s="643"/>
      <c r="AZ35" s="643"/>
      <c r="BA35" s="643">
        <f t="shared" si="88"/>
        <v>0</v>
      </c>
      <c r="BB35" s="643"/>
      <c r="BC35" s="643">
        <f t="shared" si="79"/>
        <v>0</v>
      </c>
      <c r="BD35" s="643"/>
      <c r="BE35" s="644"/>
      <c r="BF35" s="643"/>
      <c r="BG35" s="643">
        <f t="shared" si="80"/>
        <v>0</v>
      </c>
      <c r="BH35" s="631"/>
      <c r="BI35" s="631">
        <f t="shared" si="10"/>
        <v>0</v>
      </c>
      <c r="BJ35" s="631"/>
      <c r="BK35" s="631">
        <f t="shared" si="11"/>
        <v>0</v>
      </c>
      <c r="BL35" s="631"/>
      <c r="BM35" s="631">
        <f t="shared" si="12"/>
        <v>0</v>
      </c>
      <c r="BN35" s="631">
        <f>+'[12]1. melléklet_BEVÉTEL_KIADÁS'!R35</f>
        <v>0</v>
      </c>
      <c r="BO35" s="643"/>
      <c r="BP35" s="643"/>
      <c r="BQ35" s="643">
        <f t="shared" si="89"/>
        <v>0</v>
      </c>
      <c r="BR35" s="643"/>
      <c r="BS35" s="643">
        <f t="shared" si="90"/>
        <v>0</v>
      </c>
      <c r="BT35" s="643">
        <f t="shared" si="90"/>
        <v>0</v>
      </c>
      <c r="BU35" s="644"/>
      <c r="BV35" s="643"/>
      <c r="BW35" s="643">
        <f t="shared" si="81"/>
        <v>0</v>
      </c>
      <c r="BX35" s="631"/>
      <c r="BY35" s="631">
        <f t="shared" si="13"/>
        <v>0</v>
      </c>
      <c r="BZ35" s="631"/>
      <c r="CA35" s="631">
        <f t="shared" si="14"/>
        <v>0</v>
      </c>
      <c r="CB35" s="631"/>
      <c r="CC35" s="631">
        <f t="shared" si="15"/>
        <v>0</v>
      </c>
      <c r="CD35" s="631">
        <f>+'[13]1. melléklet_BEVÉTEL_KIADÁS'!R33</f>
        <v>0</v>
      </c>
      <c r="CE35" s="643">
        <f t="shared" si="62"/>
        <v>92219.78</v>
      </c>
      <c r="CF35" s="643">
        <f t="shared" si="63"/>
        <v>2500</v>
      </c>
      <c r="CG35" s="643">
        <f t="shared" si="64"/>
        <v>94719.78</v>
      </c>
      <c r="CH35" s="643" t="e">
        <f t="shared" si="65"/>
        <v>#REF!</v>
      </c>
      <c r="CI35" s="643">
        <f t="shared" si="66"/>
        <v>94719.78</v>
      </c>
      <c r="CJ35" s="643">
        <f t="shared" si="67"/>
        <v>7294</v>
      </c>
      <c r="CK35" s="644">
        <f>+CJ35/CI35</f>
        <v>0.07700609101921478</v>
      </c>
      <c r="CL35" s="643">
        <f t="shared" si="68"/>
        <v>0</v>
      </c>
      <c r="CM35" s="643">
        <f t="shared" si="69"/>
        <v>94719.78</v>
      </c>
      <c r="CN35" s="643">
        <f t="shared" si="70"/>
        <v>-16126</v>
      </c>
      <c r="CO35" s="643">
        <f t="shared" si="71"/>
        <v>78593.78</v>
      </c>
      <c r="CP35" s="643">
        <f t="shared" si="72"/>
        <v>-22700</v>
      </c>
      <c r="CQ35" s="643">
        <f t="shared" si="73"/>
        <v>55893.78</v>
      </c>
      <c r="CR35" s="643">
        <f t="shared" si="74"/>
        <v>2728</v>
      </c>
      <c r="CS35" s="643">
        <f t="shared" si="75"/>
        <v>58621.78</v>
      </c>
      <c r="CT35" s="631">
        <f t="shared" si="32"/>
        <v>0</v>
      </c>
    </row>
    <row r="36" spans="1:98" ht="12.75">
      <c r="A36" s="627">
        <v>16</v>
      </c>
      <c r="B36" s="628" t="s">
        <v>4</v>
      </c>
      <c r="C36" s="631">
        <f>+'[1]4.sz.m.Kiadások'!C27</f>
        <v>113360.2</v>
      </c>
      <c r="D36" s="631">
        <f>+'[1]4.sz.m.Kiadások'!D27</f>
        <v>2824</v>
      </c>
      <c r="E36" s="631">
        <f>+'[1]4.sz.m.Kiadások'!E27</f>
        <v>116184.2</v>
      </c>
      <c r="F36" s="631" t="e">
        <f>+'[1]4.sz.m.Kiadások'!F27</f>
        <v>#REF!</v>
      </c>
      <c r="G36" s="631">
        <f>+'[1]4.sz.m.Kiadások'!G27</f>
        <v>116184.2</v>
      </c>
      <c r="H36" s="631">
        <f>+'[1]4.sz.m.Kiadások'!H27</f>
        <v>13917</v>
      </c>
      <c r="I36" s="632">
        <f>+H36/G36</f>
        <v>0.11978392931224728</v>
      </c>
      <c r="J36" s="631">
        <v>234197</v>
      </c>
      <c r="K36" s="631">
        <f t="shared" si="76"/>
        <v>350381.2</v>
      </c>
      <c r="L36" s="631">
        <v>8139</v>
      </c>
      <c r="M36" s="631">
        <f t="shared" si="1"/>
        <v>358520.2</v>
      </c>
      <c r="N36" s="631">
        <v>-279189</v>
      </c>
      <c r="O36" s="631">
        <f t="shared" si="2"/>
        <v>79331.20000000001</v>
      </c>
      <c r="P36" s="631">
        <f>+'[1]1A. melléklet_BEVÉTEL_KIADÁS'!Q34</f>
        <v>6076</v>
      </c>
      <c r="Q36" s="631">
        <f t="shared" si="3"/>
        <v>85407.20000000001</v>
      </c>
      <c r="R36" s="631">
        <f>+'1. melléklet_BEVÉTEL_KIADÁS'!S34</f>
        <v>325079</v>
      </c>
      <c r="S36" s="631"/>
      <c r="T36" s="631">
        <f>600+427</f>
        <v>1027</v>
      </c>
      <c r="U36" s="631">
        <f t="shared" si="84"/>
        <v>1027</v>
      </c>
      <c r="V36" s="631"/>
      <c r="W36" s="631">
        <f t="shared" si="85"/>
        <v>1027</v>
      </c>
      <c r="X36" s="631">
        <f>+'[6]1. melléklet_BEVÉTEL_KIADÁS'!I34</f>
        <v>59</v>
      </c>
      <c r="Y36" s="632">
        <f>+X36/W36</f>
        <v>0.05744888023369036</v>
      </c>
      <c r="Z36" s="631"/>
      <c r="AA36" s="643">
        <f t="shared" si="77"/>
        <v>1027</v>
      </c>
      <c r="AB36" s="631">
        <v>513</v>
      </c>
      <c r="AC36" s="631">
        <f t="shared" si="4"/>
        <v>1540</v>
      </c>
      <c r="AD36" s="631"/>
      <c r="AE36" s="631">
        <f t="shared" si="5"/>
        <v>1540</v>
      </c>
      <c r="AF36" s="631"/>
      <c r="AG36" s="631">
        <f t="shared" si="6"/>
        <v>1540</v>
      </c>
      <c r="AH36" s="631">
        <f>+'[11]1. melléklet_BEVÉTEL_KIADÁS'!S34</f>
        <v>2789</v>
      </c>
      <c r="AI36" s="643"/>
      <c r="AJ36" s="631"/>
      <c r="AK36" s="631">
        <f t="shared" si="86"/>
        <v>0</v>
      </c>
      <c r="AL36" s="643"/>
      <c r="AM36" s="643">
        <f t="shared" si="87"/>
        <v>0</v>
      </c>
      <c r="AN36" s="643"/>
      <c r="AO36" s="644"/>
      <c r="AP36" s="643"/>
      <c r="AQ36" s="643">
        <f t="shared" si="78"/>
        <v>0</v>
      </c>
      <c r="AR36" s="631"/>
      <c r="AS36" s="631">
        <f t="shared" si="7"/>
        <v>0</v>
      </c>
      <c r="AT36" s="631"/>
      <c r="AU36" s="631">
        <f t="shared" si="8"/>
        <v>0</v>
      </c>
      <c r="AV36" s="631"/>
      <c r="AW36" s="631">
        <f t="shared" si="9"/>
        <v>0</v>
      </c>
      <c r="AX36" s="631"/>
      <c r="AY36" s="643"/>
      <c r="AZ36" s="643">
        <v>130</v>
      </c>
      <c r="BA36" s="643">
        <f t="shared" si="88"/>
        <v>130</v>
      </c>
      <c r="BB36" s="643"/>
      <c r="BC36" s="643">
        <f t="shared" si="79"/>
        <v>130</v>
      </c>
      <c r="BD36" s="643"/>
      <c r="BE36" s="644">
        <f>+BD36/BC36</f>
        <v>0</v>
      </c>
      <c r="BF36" s="643"/>
      <c r="BG36" s="643">
        <f t="shared" si="80"/>
        <v>130</v>
      </c>
      <c r="BH36" s="631"/>
      <c r="BI36" s="631">
        <f t="shared" si="10"/>
        <v>130</v>
      </c>
      <c r="BJ36" s="631"/>
      <c r="BK36" s="631">
        <f t="shared" si="11"/>
        <v>130</v>
      </c>
      <c r="BL36" s="631"/>
      <c r="BM36" s="631">
        <f t="shared" si="12"/>
        <v>130</v>
      </c>
      <c r="BN36" s="631">
        <f>+'[12]1. melléklet_BEVÉTEL_KIADÁS'!R36</f>
        <v>136</v>
      </c>
      <c r="BO36" s="643"/>
      <c r="BP36" s="643"/>
      <c r="BQ36" s="643">
        <f t="shared" si="89"/>
        <v>0</v>
      </c>
      <c r="BR36" s="643"/>
      <c r="BS36" s="643">
        <f t="shared" si="90"/>
        <v>0</v>
      </c>
      <c r="BT36" s="643">
        <f t="shared" si="90"/>
        <v>0</v>
      </c>
      <c r="BU36" s="644"/>
      <c r="BV36" s="643"/>
      <c r="BW36" s="643">
        <f t="shared" si="81"/>
        <v>0</v>
      </c>
      <c r="BX36" s="631">
        <v>362</v>
      </c>
      <c r="BY36" s="631">
        <f t="shared" si="13"/>
        <v>362</v>
      </c>
      <c r="BZ36" s="631">
        <v>285</v>
      </c>
      <c r="CA36" s="631">
        <f t="shared" si="14"/>
        <v>647</v>
      </c>
      <c r="CB36" s="631">
        <v>808</v>
      </c>
      <c r="CC36" s="631">
        <f t="shared" si="15"/>
        <v>1455</v>
      </c>
      <c r="CD36" s="631">
        <f>+'[13]1. melléklet_BEVÉTEL_KIADÁS'!R34</f>
        <v>1454</v>
      </c>
      <c r="CE36" s="643">
        <f t="shared" si="62"/>
        <v>113360.2</v>
      </c>
      <c r="CF36" s="643">
        <f t="shared" si="63"/>
        <v>3981</v>
      </c>
      <c r="CG36" s="643">
        <f t="shared" si="64"/>
        <v>117341.2</v>
      </c>
      <c r="CH36" s="643" t="e">
        <f t="shared" si="65"/>
        <v>#REF!</v>
      </c>
      <c r="CI36" s="643">
        <f t="shared" si="66"/>
        <v>117341.2</v>
      </c>
      <c r="CJ36" s="643">
        <f t="shared" si="67"/>
        <v>13976</v>
      </c>
      <c r="CK36" s="644">
        <f>+CJ36/CI36</f>
        <v>0.11910565087113478</v>
      </c>
      <c r="CL36" s="643">
        <f t="shared" si="68"/>
        <v>234197</v>
      </c>
      <c r="CM36" s="643">
        <f t="shared" si="69"/>
        <v>351538.2</v>
      </c>
      <c r="CN36" s="643">
        <f t="shared" si="70"/>
        <v>9014</v>
      </c>
      <c r="CO36" s="643">
        <f t="shared" si="71"/>
        <v>360552.2</v>
      </c>
      <c r="CP36" s="643">
        <f t="shared" si="72"/>
        <v>-278904</v>
      </c>
      <c r="CQ36" s="643">
        <f t="shared" si="73"/>
        <v>81648.20000000001</v>
      </c>
      <c r="CR36" s="643">
        <f t="shared" si="74"/>
        <v>6884</v>
      </c>
      <c r="CS36" s="643">
        <f t="shared" si="75"/>
        <v>88532.20000000001</v>
      </c>
      <c r="CT36" s="631">
        <f t="shared" si="32"/>
        <v>329458</v>
      </c>
    </row>
    <row r="37" spans="1:98" ht="12.75">
      <c r="A37" s="627">
        <v>17</v>
      </c>
      <c r="B37" s="628" t="s">
        <v>192</v>
      </c>
      <c r="C37" s="631"/>
      <c r="D37" s="631">
        <f>+'[1]4.sz.m.Kiadások'!D29</f>
        <v>2000</v>
      </c>
      <c r="E37" s="631">
        <f>+'[1]4.sz.m.Kiadások'!E29</f>
        <v>2000</v>
      </c>
      <c r="F37" s="631"/>
      <c r="G37" s="631">
        <f>+'[1]4.sz.m.Kiadások'!G29</f>
        <v>2000</v>
      </c>
      <c r="H37" s="631"/>
      <c r="I37" s="632">
        <f>+H37/G37</f>
        <v>0</v>
      </c>
      <c r="J37" s="631"/>
      <c r="K37" s="631">
        <f t="shared" si="76"/>
        <v>2000</v>
      </c>
      <c r="L37" s="631">
        <v>7500</v>
      </c>
      <c r="M37" s="631">
        <f t="shared" si="1"/>
        <v>9500</v>
      </c>
      <c r="N37" s="631"/>
      <c r="O37" s="631">
        <f t="shared" si="2"/>
        <v>9500</v>
      </c>
      <c r="P37" s="631"/>
      <c r="Q37" s="631">
        <f t="shared" si="3"/>
        <v>9500</v>
      </c>
      <c r="R37" s="631">
        <f>+'1. melléklet_BEVÉTEL_KIADÁS'!S35</f>
        <v>0</v>
      </c>
      <c r="S37" s="631"/>
      <c r="T37" s="631"/>
      <c r="U37" s="631"/>
      <c r="V37" s="631"/>
      <c r="W37" s="631"/>
      <c r="X37" s="631">
        <f>+'[6]1. melléklet_BEVÉTEL_KIADÁS'!I35</f>
        <v>0</v>
      </c>
      <c r="Y37" s="632"/>
      <c r="Z37" s="631"/>
      <c r="AA37" s="643">
        <f t="shared" si="77"/>
        <v>0</v>
      </c>
      <c r="AB37" s="631"/>
      <c r="AC37" s="631">
        <f t="shared" si="4"/>
        <v>0</v>
      </c>
      <c r="AD37" s="631"/>
      <c r="AE37" s="631">
        <f t="shared" si="5"/>
        <v>0</v>
      </c>
      <c r="AF37" s="631"/>
      <c r="AG37" s="631">
        <f t="shared" si="6"/>
        <v>0</v>
      </c>
      <c r="AH37" s="631">
        <f>+'[11]1. melléklet_BEVÉTEL_KIADÁS'!S35</f>
        <v>0</v>
      </c>
      <c r="AI37" s="643"/>
      <c r="AJ37" s="631"/>
      <c r="AK37" s="631"/>
      <c r="AL37" s="643"/>
      <c r="AM37" s="643"/>
      <c r="AN37" s="643"/>
      <c r="AO37" s="644"/>
      <c r="AP37" s="643"/>
      <c r="AQ37" s="643">
        <f t="shared" si="78"/>
        <v>0</v>
      </c>
      <c r="AR37" s="631"/>
      <c r="AS37" s="631">
        <f t="shared" si="7"/>
        <v>0</v>
      </c>
      <c r="AT37" s="631"/>
      <c r="AU37" s="631">
        <f t="shared" si="8"/>
        <v>0</v>
      </c>
      <c r="AV37" s="631"/>
      <c r="AW37" s="631">
        <f t="shared" si="9"/>
        <v>0</v>
      </c>
      <c r="AX37" s="631"/>
      <c r="AY37" s="643"/>
      <c r="AZ37" s="643"/>
      <c r="BA37" s="643">
        <f t="shared" si="88"/>
        <v>0</v>
      </c>
      <c r="BB37" s="643"/>
      <c r="BC37" s="643">
        <f t="shared" si="79"/>
        <v>0</v>
      </c>
      <c r="BD37" s="643"/>
      <c r="BE37" s="644"/>
      <c r="BF37" s="643"/>
      <c r="BG37" s="643">
        <f t="shared" si="80"/>
        <v>0</v>
      </c>
      <c r="BH37" s="631"/>
      <c r="BI37" s="631">
        <f t="shared" si="10"/>
        <v>0</v>
      </c>
      <c r="BJ37" s="631"/>
      <c r="BK37" s="631">
        <f t="shared" si="11"/>
        <v>0</v>
      </c>
      <c r="BL37" s="631"/>
      <c r="BM37" s="631">
        <f t="shared" si="12"/>
        <v>0</v>
      </c>
      <c r="BN37" s="631">
        <f>+'[12]1. melléklet_BEVÉTEL_KIADÁS'!R37</f>
        <v>0</v>
      </c>
      <c r="BO37" s="643"/>
      <c r="BP37" s="643"/>
      <c r="BQ37" s="643"/>
      <c r="BR37" s="643"/>
      <c r="BS37" s="643"/>
      <c r="BT37" s="643"/>
      <c r="BU37" s="644"/>
      <c r="BV37" s="643"/>
      <c r="BW37" s="643">
        <f t="shared" si="81"/>
        <v>0</v>
      </c>
      <c r="BX37" s="631"/>
      <c r="BY37" s="631">
        <f t="shared" si="13"/>
        <v>0</v>
      </c>
      <c r="BZ37" s="631"/>
      <c r="CA37" s="631">
        <f t="shared" si="14"/>
        <v>0</v>
      </c>
      <c r="CB37" s="631"/>
      <c r="CC37" s="631">
        <f t="shared" si="15"/>
        <v>0</v>
      </c>
      <c r="CD37" s="631">
        <f>+'[13]1. melléklet_BEVÉTEL_KIADÁS'!R35</f>
        <v>0</v>
      </c>
      <c r="CE37" s="643">
        <f t="shared" si="62"/>
        <v>0</v>
      </c>
      <c r="CF37" s="643">
        <f t="shared" si="63"/>
        <v>2000</v>
      </c>
      <c r="CG37" s="643">
        <f t="shared" si="64"/>
        <v>2000</v>
      </c>
      <c r="CH37" s="643">
        <f t="shared" si="65"/>
        <v>0</v>
      </c>
      <c r="CI37" s="643">
        <f t="shared" si="66"/>
        <v>2000</v>
      </c>
      <c r="CJ37" s="643">
        <f t="shared" si="67"/>
        <v>0</v>
      </c>
      <c r="CK37" s="644">
        <f>+CJ37/CI37</f>
        <v>0</v>
      </c>
      <c r="CL37" s="643">
        <f t="shared" si="68"/>
        <v>0</v>
      </c>
      <c r="CM37" s="643">
        <f t="shared" si="69"/>
        <v>2000</v>
      </c>
      <c r="CN37" s="643">
        <f t="shared" si="70"/>
        <v>7500</v>
      </c>
      <c r="CO37" s="643">
        <f t="shared" si="71"/>
        <v>9500</v>
      </c>
      <c r="CP37" s="643">
        <f t="shared" si="72"/>
        <v>0</v>
      </c>
      <c r="CQ37" s="643">
        <f t="shared" si="73"/>
        <v>9500</v>
      </c>
      <c r="CR37" s="643">
        <f t="shared" si="74"/>
        <v>0</v>
      </c>
      <c r="CS37" s="643">
        <f t="shared" si="75"/>
        <v>9500</v>
      </c>
      <c r="CT37" s="631">
        <f t="shared" si="32"/>
        <v>0</v>
      </c>
    </row>
    <row r="38" spans="1:98" ht="12.75">
      <c r="A38" s="627">
        <v>18</v>
      </c>
      <c r="B38" s="628" t="s">
        <v>193</v>
      </c>
      <c r="C38" s="631">
        <f>+'[1]4.sz.m.Kiadások'!$C$22+'[1]4.sz.m.Kiadások'!$C$23+'[1]4.sz.m.Kiadások'!$C$39</f>
        <v>145511</v>
      </c>
      <c r="D38" s="631">
        <f>+'[1]4.sz.m.Kiadások'!D22+'[1]4.sz.m.Kiadások'!D23+'[1]4.sz.m.Kiadások'!D39</f>
        <v>-19545</v>
      </c>
      <c r="E38" s="631">
        <f>+'[1]4.sz.m.Kiadások'!E22+'[1]4.sz.m.Kiadások'!E23+'[1]4.sz.m.Kiadások'!E39</f>
        <v>125966</v>
      </c>
      <c r="F38" s="631" t="e">
        <f>+'[1]4.sz.m.Kiadások'!F22+'[1]4.sz.m.Kiadások'!F23+'[1]4.sz.m.Kiadások'!F39</f>
        <v>#REF!</v>
      </c>
      <c r="G38" s="631">
        <f>+'[1]4.sz.m.Kiadások'!G22+'[1]4.sz.m.Kiadások'!G23+'[1]4.sz.m.Kiadások'!G39</f>
        <v>126550</v>
      </c>
      <c r="H38" s="631" t="e">
        <f>+'[1]4.sz.m.Kiadások'!H22+'[1]4.sz.m.Kiadások'!H23+'[1]4.sz.m.Kiadások'!H39</f>
        <v>#REF!</v>
      </c>
      <c r="I38" s="632" t="e">
        <f>+H38/G38</f>
        <v>#REF!</v>
      </c>
      <c r="J38" s="631">
        <v>45145</v>
      </c>
      <c r="K38" s="631">
        <f t="shared" si="76"/>
        <v>171695</v>
      </c>
      <c r="L38" s="631">
        <v>19073</v>
      </c>
      <c r="M38" s="631">
        <f t="shared" si="1"/>
        <v>190768</v>
      </c>
      <c r="N38" s="631">
        <v>52590</v>
      </c>
      <c r="O38" s="631">
        <f t="shared" si="2"/>
        <v>243358</v>
      </c>
      <c r="P38" s="631">
        <f>+'[1]1A. melléklet_BEVÉTEL_KIADÁS'!Q36</f>
        <v>-111664</v>
      </c>
      <c r="Q38" s="631">
        <f t="shared" si="3"/>
        <v>131694</v>
      </c>
      <c r="R38" s="631">
        <f>+'1. melléklet_BEVÉTEL_KIADÁS'!S36</f>
        <v>0</v>
      </c>
      <c r="S38" s="631">
        <f>+'[2]4.sz.m.Kiadások'!D22+'[2]4.sz.m.Kiadások'!D23</f>
        <v>1000</v>
      </c>
      <c r="T38" s="631"/>
      <c r="U38" s="631">
        <f>+S38+T38</f>
        <v>1000</v>
      </c>
      <c r="V38" s="631"/>
      <c r="W38" s="631">
        <f>+U38+V38</f>
        <v>1000</v>
      </c>
      <c r="X38" s="631">
        <f>+'[6]1. melléklet_BEVÉTEL_KIADÁS'!I36</f>
        <v>0</v>
      </c>
      <c r="Y38" s="632">
        <f>+X38/W38</f>
        <v>0</v>
      </c>
      <c r="Z38" s="631"/>
      <c r="AA38" s="643">
        <f t="shared" si="77"/>
        <v>1000</v>
      </c>
      <c r="AB38" s="631">
        <v>-454</v>
      </c>
      <c r="AC38" s="631">
        <f t="shared" si="4"/>
        <v>546</v>
      </c>
      <c r="AD38" s="631">
        <v>-460</v>
      </c>
      <c r="AE38" s="631">
        <f t="shared" si="5"/>
        <v>86</v>
      </c>
      <c r="AF38" s="631"/>
      <c r="AG38" s="631">
        <f t="shared" si="6"/>
        <v>86</v>
      </c>
      <c r="AH38" s="631">
        <f>+'[11]1. melléklet_BEVÉTEL_KIADÁS'!S36</f>
        <v>0</v>
      </c>
      <c r="AI38" s="643"/>
      <c r="AJ38" s="631"/>
      <c r="AK38" s="631">
        <f>+AI38+AJ38</f>
        <v>0</v>
      </c>
      <c r="AL38" s="643"/>
      <c r="AM38" s="643">
        <f>+AI38+AL38</f>
        <v>0</v>
      </c>
      <c r="AN38" s="643"/>
      <c r="AO38" s="644"/>
      <c r="AP38" s="643"/>
      <c r="AQ38" s="643">
        <f t="shared" si="78"/>
        <v>0</v>
      </c>
      <c r="AR38" s="631"/>
      <c r="AS38" s="631">
        <f t="shared" si="7"/>
        <v>0</v>
      </c>
      <c r="AT38" s="631"/>
      <c r="AU38" s="631">
        <f t="shared" si="8"/>
        <v>0</v>
      </c>
      <c r="AV38" s="631"/>
      <c r="AW38" s="631">
        <f t="shared" si="9"/>
        <v>0</v>
      </c>
      <c r="AX38" s="631"/>
      <c r="AY38" s="643"/>
      <c r="AZ38" s="643"/>
      <c r="BA38" s="643">
        <f t="shared" si="88"/>
        <v>0</v>
      </c>
      <c r="BB38" s="643"/>
      <c r="BC38" s="643">
        <f t="shared" si="79"/>
        <v>0</v>
      </c>
      <c r="BD38" s="643"/>
      <c r="BE38" s="644"/>
      <c r="BF38" s="643"/>
      <c r="BG38" s="643">
        <f t="shared" si="80"/>
        <v>0</v>
      </c>
      <c r="BH38" s="631"/>
      <c r="BI38" s="631">
        <f t="shared" si="10"/>
        <v>0</v>
      </c>
      <c r="BJ38" s="631"/>
      <c r="BK38" s="631">
        <f t="shared" si="11"/>
        <v>0</v>
      </c>
      <c r="BL38" s="631"/>
      <c r="BM38" s="631">
        <f t="shared" si="12"/>
        <v>0</v>
      </c>
      <c r="BN38" s="631">
        <f>+'[12]1. melléklet_BEVÉTEL_KIADÁS'!R38</f>
        <v>0</v>
      </c>
      <c r="BO38" s="643"/>
      <c r="BP38" s="643"/>
      <c r="BQ38" s="643">
        <f>+BO38+BP38</f>
        <v>0</v>
      </c>
      <c r="BR38" s="643"/>
      <c r="BS38" s="643">
        <f>+BQ38+BR38</f>
        <v>0</v>
      </c>
      <c r="BT38" s="643">
        <f>+BR38+BS38</f>
        <v>0</v>
      </c>
      <c r="BU38" s="644"/>
      <c r="BV38" s="643"/>
      <c r="BW38" s="643">
        <f t="shared" si="81"/>
        <v>0</v>
      </c>
      <c r="BX38" s="631"/>
      <c r="BY38" s="631">
        <f t="shared" si="13"/>
        <v>0</v>
      </c>
      <c r="BZ38" s="631"/>
      <c r="CA38" s="631">
        <f t="shared" si="14"/>
        <v>0</v>
      </c>
      <c r="CB38" s="631"/>
      <c r="CC38" s="631">
        <f t="shared" si="15"/>
        <v>0</v>
      </c>
      <c r="CD38" s="631">
        <f>+'[13]1. melléklet_BEVÉTEL_KIADÁS'!R36</f>
        <v>0</v>
      </c>
      <c r="CE38" s="643">
        <f t="shared" si="62"/>
        <v>146511</v>
      </c>
      <c r="CF38" s="643">
        <f t="shared" si="63"/>
        <v>-19545</v>
      </c>
      <c r="CG38" s="643">
        <f t="shared" si="64"/>
        <v>126966</v>
      </c>
      <c r="CH38" s="643" t="e">
        <f t="shared" si="65"/>
        <v>#REF!</v>
      </c>
      <c r="CI38" s="643">
        <f t="shared" si="66"/>
        <v>127550</v>
      </c>
      <c r="CJ38" s="643" t="e">
        <f t="shared" si="67"/>
        <v>#REF!</v>
      </c>
      <c r="CK38" s="644" t="e">
        <f>+CJ38/CI38</f>
        <v>#REF!</v>
      </c>
      <c r="CL38" s="643">
        <f t="shared" si="68"/>
        <v>45145</v>
      </c>
      <c r="CM38" s="643">
        <f t="shared" si="69"/>
        <v>172695</v>
      </c>
      <c r="CN38" s="643">
        <f t="shared" si="70"/>
        <v>18619</v>
      </c>
      <c r="CO38" s="643">
        <f t="shared" si="71"/>
        <v>191314</v>
      </c>
      <c r="CP38" s="643">
        <f t="shared" si="72"/>
        <v>52130</v>
      </c>
      <c r="CQ38" s="643">
        <f t="shared" si="73"/>
        <v>243444</v>
      </c>
      <c r="CR38" s="643">
        <f t="shared" si="74"/>
        <v>-111664</v>
      </c>
      <c r="CS38" s="643">
        <f t="shared" si="75"/>
        <v>131780</v>
      </c>
      <c r="CT38" s="631">
        <f t="shared" si="32"/>
        <v>0</v>
      </c>
    </row>
    <row r="39" spans="1:98" ht="12.75">
      <c r="A39" s="627">
        <v>19</v>
      </c>
      <c r="B39" s="628" t="s">
        <v>194</v>
      </c>
      <c r="C39" s="631">
        <f>+'[1]4.sz.m.Kiadások'!C40</f>
        <v>51957</v>
      </c>
      <c r="D39" s="631" t="e">
        <f>+'[1]4.sz.m.Kiadások'!D40</f>
        <v>#REF!</v>
      </c>
      <c r="E39" s="631">
        <f>+'[1]4.sz.m.Kiadások'!E40</f>
        <v>51957</v>
      </c>
      <c r="F39" s="631" t="e">
        <f>+'[1]4.sz.m.Kiadások'!F40</f>
        <v>#REF!</v>
      </c>
      <c r="G39" s="631">
        <f>+'[1]4.sz.m.Kiadások'!G40</f>
        <v>51957</v>
      </c>
      <c r="H39" s="631">
        <f>+'[1]4.sz.m.Kiadások'!H40</f>
        <v>24463</v>
      </c>
      <c r="I39" s="632">
        <f>+H39/G39</f>
        <v>0.470831649248417</v>
      </c>
      <c r="J39" s="631"/>
      <c r="K39" s="631">
        <f t="shared" si="76"/>
        <v>51957</v>
      </c>
      <c r="L39" s="631"/>
      <c r="M39" s="631">
        <f t="shared" si="1"/>
        <v>51957</v>
      </c>
      <c r="N39" s="631"/>
      <c r="O39" s="631">
        <f t="shared" si="2"/>
        <v>51957</v>
      </c>
      <c r="P39" s="631">
        <f>+'[1]1A. melléklet_BEVÉTEL_KIADÁS'!Q37</f>
        <v>-2100</v>
      </c>
      <c r="Q39" s="631">
        <f t="shared" si="3"/>
        <v>49857</v>
      </c>
      <c r="R39" s="631">
        <f>+'1. melléklet_BEVÉTEL_KIADÁS'!S37</f>
        <v>47786</v>
      </c>
      <c r="S39" s="631"/>
      <c r="T39" s="631"/>
      <c r="U39" s="631">
        <f>+S39+T39</f>
        <v>0</v>
      </c>
      <c r="V39" s="631"/>
      <c r="W39" s="631">
        <f>+U39+V39</f>
        <v>0</v>
      </c>
      <c r="X39" s="631">
        <f>+'[6]1. melléklet_BEVÉTEL_KIADÁS'!I37</f>
        <v>3913</v>
      </c>
      <c r="Y39" s="632"/>
      <c r="Z39" s="631"/>
      <c r="AA39" s="643">
        <f t="shared" si="77"/>
        <v>0</v>
      </c>
      <c r="AB39" s="631"/>
      <c r="AC39" s="631">
        <f t="shared" si="4"/>
        <v>0</v>
      </c>
      <c r="AD39" s="631"/>
      <c r="AE39" s="631">
        <f t="shared" si="5"/>
        <v>0</v>
      </c>
      <c r="AF39" s="631"/>
      <c r="AG39" s="631">
        <f t="shared" si="6"/>
        <v>0</v>
      </c>
      <c r="AH39" s="631"/>
      <c r="AI39" s="643"/>
      <c r="AJ39" s="631"/>
      <c r="AK39" s="631">
        <f>+AI39+AJ39</f>
        <v>0</v>
      </c>
      <c r="AL39" s="643"/>
      <c r="AM39" s="643">
        <f>+AI39+AL39</f>
        <v>0</v>
      </c>
      <c r="AN39" s="643"/>
      <c r="AO39" s="644"/>
      <c r="AP39" s="643"/>
      <c r="AQ39" s="643">
        <f t="shared" si="78"/>
        <v>0</v>
      </c>
      <c r="AR39" s="631"/>
      <c r="AS39" s="631">
        <f t="shared" si="7"/>
        <v>0</v>
      </c>
      <c r="AT39" s="631"/>
      <c r="AU39" s="631">
        <f t="shared" si="8"/>
        <v>0</v>
      </c>
      <c r="AV39" s="631"/>
      <c r="AW39" s="631">
        <f t="shared" si="9"/>
        <v>0</v>
      </c>
      <c r="AX39" s="631"/>
      <c r="AY39" s="643"/>
      <c r="AZ39" s="643"/>
      <c r="BA39" s="643">
        <f t="shared" si="88"/>
        <v>0</v>
      </c>
      <c r="BB39" s="643"/>
      <c r="BC39" s="643">
        <f t="shared" si="79"/>
        <v>0</v>
      </c>
      <c r="BD39" s="643"/>
      <c r="BE39" s="644"/>
      <c r="BF39" s="643"/>
      <c r="BG39" s="643">
        <f t="shared" si="80"/>
        <v>0</v>
      </c>
      <c r="BH39" s="631"/>
      <c r="BI39" s="631">
        <f t="shared" si="10"/>
        <v>0</v>
      </c>
      <c r="BJ39" s="631"/>
      <c r="BK39" s="631">
        <f t="shared" si="11"/>
        <v>0</v>
      </c>
      <c r="BL39" s="631"/>
      <c r="BM39" s="631">
        <f t="shared" si="12"/>
        <v>0</v>
      </c>
      <c r="BN39" s="631"/>
      <c r="BO39" s="643"/>
      <c r="BP39" s="643"/>
      <c r="BQ39" s="643">
        <f>+BO39+BP39</f>
        <v>0</v>
      </c>
      <c r="BR39" s="643"/>
      <c r="BS39" s="643">
        <f>+BQ39+BR39</f>
        <v>0</v>
      </c>
      <c r="BT39" s="643">
        <f>+BR39+BS39</f>
        <v>0</v>
      </c>
      <c r="BU39" s="644"/>
      <c r="BV39" s="643"/>
      <c r="BW39" s="643">
        <f t="shared" si="81"/>
        <v>0</v>
      </c>
      <c r="BX39" s="631"/>
      <c r="BY39" s="631">
        <f t="shared" si="13"/>
        <v>0</v>
      </c>
      <c r="BZ39" s="631"/>
      <c r="CA39" s="631">
        <f t="shared" si="14"/>
        <v>0</v>
      </c>
      <c r="CB39" s="631"/>
      <c r="CC39" s="631">
        <f t="shared" si="15"/>
        <v>0</v>
      </c>
      <c r="CD39" s="631"/>
      <c r="CE39" s="643">
        <f t="shared" si="62"/>
        <v>51957</v>
      </c>
      <c r="CF39" s="643" t="e">
        <f t="shared" si="63"/>
        <v>#REF!</v>
      </c>
      <c r="CG39" s="643">
        <f t="shared" si="64"/>
        <v>51957</v>
      </c>
      <c r="CH39" s="643" t="e">
        <f t="shared" si="65"/>
        <v>#REF!</v>
      </c>
      <c r="CI39" s="643">
        <f t="shared" si="66"/>
        <v>51957</v>
      </c>
      <c r="CJ39" s="643">
        <f t="shared" si="67"/>
        <v>28376</v>
      </c>
      <c r="CK39" s="644">
        <f>+CJ39/CI39</f>
        <v>0.5461439267086244</v>
      </c>
      <c r="CL39" s="643">
        <f t="shared" si="68"/>
        <v>0</v>
      </c>
      <c r="CM39" s="643">
        <f t="shared" si="69"/>
        <v>51957</v>
      </c>
      <c r="CN39" s="643">
        <f t="shared" si="70"/>
        <v>0</v>
      </c>
      <c r="CO39" s="643">
        <f t="shared" si="71"/>
        <v>51957</v>
      </c>
      <c r="CP39" s="643">
        <f t="shared" si="72"/>
        <v>0</v>
      </c>
      <c r="CQ39" s="643">
        <f t="shared" si="73"/>
        <v>51957</v>
      </c>
      <c r="CR39" s="643">
        <f t="shared" si="74"/>
        <v>-2100</v>
      </c>
      <c r="CS39" s="643">
        <f t="shared" si="75"/>
        <v>49857</v>
      </c>
      <c r="CT39" s="631">
        <f t="shared" si="32"/>
        <v>47786</v>
      </c>
    </row>
    <row r="40" spans="1:98" ht="13.5" thickBot="1">
      <c r="A40" s="646">
        <v>20</v>
      </c>
      <c r="B40" s="656" t="s">
        <v>195</v>
      </c>
      <c r="C40" s="647"/>
      <c r="D40" s="648"/>
      <c r="E40" s="648"/>
      <c r="F40" s="648"/>
      <c r="G40" s="648"/>
      <c r="H40" s="648">
        <f>+'[1]4.sz.m.Kiadások'!H41</f>
        <v>1285</v>
      </c>
      <c r="I40" s="649"/>
      <c r="J40" s="649"/>
      <c r="K40" s="649"/>
      <c r="L40" s="649"/>
      <c r="M40" s="649">
        <f t="shared" si="1"/>
        <v>0</v>
      </c>
      <c r="N40" s="649"/>
      <c r="O40" s="648">
        <f t="shared" si="2"/>
        <v>0</v>
      </c>
      <c r="P40" s="649"/>
      <c r="Q40" s="648">
        <f t="shared" si="3"/>
        <v>0</v>
      </c>
      <c r="R40" s="648">
        <f>+'1. melléklet_BEVÉTEL_KIADÁS'!S38</f>
        <v>589</v>
      </c>
      <c r="S40" s="648"/>
      <c r="T40" s="648"/>
      <c r="U40" s="648"/>
      <c r="V40" s="648"/>
      <c r="W40" s="648"/>
      <c r="X40" s="648">
        <f>+'[6]1. melléklet_BEVÉTEL_KIADÁS'!I38</f>
        <v>0</v>
      </c>
      <c r="Y40" s="649"/>
      <c r="Z40" s="648"/>
      <c r="AA40" s="648"/>
      <c r="AB40" s="649"/>
      <c r="AC40" s="649">
        <f t="shared" si="4"/>
        <v>0</v>
      </c>
      <c r="AD40" s="649"/>
      <c r="AE40" s="648">
        <f t="shared" si="5"/>
        <v>0</v>
      </c>
      <c r="AF40" s="649"/>
      <c r="AG40" s="648">
        <f t="shared" si="6"/>
        <v>0</v>
      </c>
      <c r="AH40" s="648">
        <f>+'[11]1. melléklet_BEVÉTEL_KIADÁS'!S37</f>
        <v>9832</v>
      </c>
      <c r="AI40" s="648"/>
      <c r="AJ40" s="657"/>
      <c r="AK40" s="657"/>
      <c r="AL40" s="648"/>
      <c r="AM40" s="648"/>
      <c r="AN40" s="648">
        <f>+'[7]1. melléklet_BEVÉTEL_KIADÁS'!$H$38</f>
        <v>2041</v>
      </c>
      <c r="AO40" s="649"/>
      <c r="AP40" s="648"/>
      <c r="AQ40" s="648"/>
      <c r="AR40" s="649"/>
      <c r="AS40" s="649">
        <f t="shared" si="7"/>
        <v>0</v>
      </c>
      <c r="AT40" s="649"/>
      <c r="AU40" s="648">
        <f t="shared" si="8"/>
        <v>0</v>
      </c>
      <c r="AV40" s="649"/>
      <c r="AW40" s="648">
        <f t="shared" si="9"/>
        <v>0</v>
      </c>
      <c r="AX40" s="648">
        <f>+'[10]1. melléklet_BEVÉTEL_KIADÁS'!$R$38</f>
        <v>3479</v>
      </c>
      <c r="AY40" s="648"/>
      <c r="AZ40" s="648"/>
      <c r="BA40" s="648"/>
      <c r="BB40" s="648"/>
      <c r="BC40" s="648"/>
      <c r="BD40" s="648">
        <v>686</v>
      </c>
      <c r="BE40" s="649"/>
      <c r="BF40" s="648"/>
      <c r="BG40" s="648">
        <f t="shared" si="80"/>
        <v>0</v>
      </c>
      <c r="BH40" s="649"/>
      <c r="BI40" s="649">
        <f t="shared" si="10"/>
        <v>0</v>
      </c>
      <c r="BJ40" s="649"/>
      <c r="BK40" s="648">
        <f t="shared" si="11"/>
        <v>0</v>
      </c>
      <c r="BL40" s="649"/>
      <c r="BM40" s="648">
        <f t="shared" si="12"/>
        <v>0</v>
      </c>
      <c r="BN40" s="648">
        <f>+'[12]1. melléklet_BEVÉTEL_KIADÁS'!R39</f>
        <v>885</v>
      </c>
      <c r="BO40" s="648"/>
      <c r="BP40" s="648"/>
      <c r="BQ40" s="648"/>
      <c r="BR40" s="648"/>
      <c r="BS40" s="648"/>
      <c r="BT40" s="648">
        <v>124</v>
      </c>
      <c r="BU40" s="649"/>
      <c r="BV40" s="648"/>
      <c r="BW40" s="648"/>
      <c r="BX40" s="649"/>
      <c r="BY40" s="649">
        <f t="shared" si="13"/>
        <v>0</v>
      </c>
      <c r="BZ40" s="649"/>
      <c r="CA40" s="648">
        <f t="shared" si="14"/>
        <v>0</v>
      </c>
      <c r="CB40" s="649"/>
      <c r="CC40" s="648">
        <f t="shared" si="15"/>
        <v>0</v>
      </c>
      <c r="CD40" s="648">
        <f>+'[13]1. melléklet_BEVÉTEL_KIADÁS'!R37</f>
        <v>668</v>
      </c>
      <c r="CE40" s="648"/>
      <c r="CF40" s="648"/>
      <c r="CG40" s="648"/>
      <c r="CH40" s="648"/>
      <c r="CI40" s="648"/>
      <c r="CJ40" s="648"/>
      <c r="CK40" s="649"/>
      <c r="CL40" s="648"/>
      <c r="CM40" s="648"/>
      <c r="CN40" s="648"/>
      <c r="CO40" s="648"/>
      <c r="CP40" s="648"/>
      <c r="CQ40" s="648"/>
      <c r="CR40" s="648"/>
      <c r="CS40" s="648"/>
      <c r="CT40" s="648">
        <f t="shared" si="32"/>
        <v>15453</v>
      </c>
    </row>
    <row r="41" spans="1:98" ht="13.5" thickBot="1">
      <c r="A41" s="657"/>
      <c r="B41" s="657"/>
      <c r="C41" s="658"/>
      <c r="D41" s="658"/>
      <c r="E41" s="658"/>
      <c r="F41" s="658"/>
      <c r="G41" s="658"/>
      <c r="H41" s="658"/>
      <c r="I41" s="659"/>
      <c r="J41" s="658"/>
      <c r="K41" s="658"/>
      <c r="L41" s="658"/>
      <c r="M41" s="658">
        <f t="shared" si="1"/>
        <v>0</v>
      </c>
      <c r="N41" s="658"/>
      <c r="O41" s="658">
        <f t="shared" si="2"/>
        <v>0</v>
      </c>
      <c r="P41" s="658"/>
      <c r="Q41" s="658">
        <f t="shared" si="3"/>
        <v>0</v>
      </c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>
        <f t="shared" si="4"/>
        <v>0</v>
      </c>
      <c r="AD41" s="658"/>
      <c r="AE41" s="658">
        <f t="shared" si="5"/>
        <v>0</v>
      </c>
      <c r="AF41" s="658"/>
      <c r="AG41" s="658">
        <f t="shared" si="6"/>
        <v>0</v>
      </c>
      <c r="AH41" s="658"/>
      <c r="AI41" s="658"/>
      <c r="AJ41" s="658"/>
      <c r="AK41" s="658"/>
      <c r="AL41" s="658"/>
      <c r="AM41" s="658"/>
      <c r="AN41" s="658"/>
      <c r="AO41" s="659"/>
      <c r="AP41" s="658"/>
      <c r="AQ41" s="658"/>
      <c r="AR41" s="658"/>
      <c r="AS41" s="658">
        <f t="shared" si="7"/>
        <v>0</v>
      </c>
      <c r="AT41" s="658"/>
      <c r="AU41" s="658">
        <f t="shared" si="8"/>
        <v>0</v>
      </c>
      <c r="AV41" s="658"/>
      <c r="AW41" s="658">
        <f t="shared" si="9"/>
        <v>0</v>
      </c>
      <c r="AX41" s="658"/>
      <c r="AY41" s="658"/>
      <c r="AZ41" s="658"/>
      <c r="BA41" s="658"/>
      <c r="BB41" s="658"/>
      <c r="BC41" s="658"/>
      <c r="BD41" s="658"/>
      <c r="BE41" s="658"/>
      <c r="BF41" s="658"/>
      <c r="BG41" s="658"/>
      <c r="BH41" s="658"/>
      <c r="BI41" s="658">
        <f t="shared" si="10"/>
        <v>0</v>
      </c>
      <c r="BJ41" s="658"/>
      <c r="BK41" s="658">
        <f t="shared" si="11"/>
        <v>0</v>
      </c>
      <c r="BL41" s="658"/>
      <c r="BM41" s="658">
        <f t="shared" si="12"/>
        <v>0</v>
      </c>
      <c r="BN41" s="658"/>
      <c r="BO41" s="658"/>
      <c r="BP41" s="658"/>
      <c r="BQ41" s="658"/>
      <c r="BR41" s="658"/>
      <c r="BS41" s="658"/>
      <c r="BT41" s="658"/>
      <c r="BU41" s="658"/>
      <c r="BV41" s="658"/>
      <c r="BW41" s="658"/>
      <c r="BX41" s="658"/>
      <c r="BY41" s="658">
        <f t="shared" si="13"/>
        <v>0</v>
      </c>
      <c r="BZ41" s="658"/>
      <c r="CA41" s="658">
        <f t="shared" si="14"/>
        <v>0</v>
      </c>
      <c r="CB41" s="658"/>
      <c r="CC41" s="658">
        <f t="shared" si="15"/>
        <v>0</v>
      </c>
      <c r="CD41" s="658"/>
      <c r="CE41" s="657"/>
      <c r="CF41" s="657"/>
      <c r="CG41" s="657"/>
      <c r="CH41" s="657"/>
      <c r="CI41" s="657"/>
      <c r="CJ41" s="657"/>
      <c r="CK41" s="657"/>
      <c r="CL41" s="658"/>
      <c r="CM41" s="657"/>
      <c r="CN41" s="658"/>
      <c r="CO41" s="657"/>
      <c r="CP41" s="658"/>
      <c r="CQ41" s="657"/>
      <c r="CR41" s="658"/>
      <c r="CS41" s="657"/>
      <c r="CT41" s="658"/>
    </row>
    <row r="42" spans="1:98" ht="13.5" thickBot="1">
      <c r="A42" s="657"/>
      <c r="B42" s="660" t="s">
        <v>196</v>
      </c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>
        <f>+R4-R17-R24</f>
        <v>-8819</v>
      </c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>
        <f>+AH4-AH17-AH24</f>
        <v>2937</v>
      </c>
      <c r="AI42" s="661"/>
      <c r="AJ42" s="661"/>
      <c r="AK42" s="661"/>
      <c r="AL42" s="661"/>
      <c r="AM42" s="661"/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>
        <f>+AX4-AX17-AX24</f>
        <v>133</v>
      </c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661"/>
      <c r="BL42" s="661"/>
      <c r="BM42" s="661"/>
      <c r="BN42" s="661">
        <f>+BN4-BN17-BN24</f>
        <v>71</v>
      </c>
      <c r="BO42" s="661"/>
      <c r="BP42" s="661"/>
      <c r="BQ42" s="661"/>
      <c r="BR42" s="661"/>
      <c r="BS42" s="661"/>
      <c r="BT42" s="661"/>
      <c r="BU42" s="661"/>
      <c r="BV42" s="661"/>
      <c r="BW42" s="661"/>
      <c r="BX42" s="661"/>
      <c r="BY42" s="661"/>
      <c r="BZ42" s="661"/>
      <c r="CA42" s="661"/>
      <c r="CB42" s="661"/>
      <c r="CC42" s="661"/>
      <c r="CD42" s="661">
        <f>+CD4-CD17-CD24</f>
        <v>91</v>
      </c>
      <c r="CE42" s="661"/>
      <c r="CF42" s="661"/>
      <c r="CG42" s="661"/>
      <c r="CH42" s="661"/>
      <c r="CI42" s="661"/>
      <c r="CJ42" s="661"/>
      <c r="CK42" s="661"/>
      <c r="CL42" s="661"/>
      <c r="CM42" s="661"/>
      <c r="CN42" s="661"/>
      <c r="CO42" s="661"/>
      <c r="CP42" s="661"/>
      <c r="CQ42" s="661"/>
      <c r="CR42" s="661"/>
      <c r="CS42" s="661"/>
      <c r="CT42" s="661">
        <f>+CT4-CT17-CT24</f>
        <v>-5587</v>
      </c>
    </row>
    <row r="43" spans="1:98" ht="12.75">
      <c r="A43" s="657"/>
      <c r="B43" s="657"/>
      <c r="C43" s="661"/>
      <c r="D43" s="661"/>
      <c r="E43" s="661"/>
      <c r="F43" s="661"/>
      <c r="G43" s="661"/>
      <c r="H43" s="661"/>
      <c r="I43" s="659"/>
      <c r="J43" s="661"/>
      <c r="K43" s="661"/>
      <c r="L43" s="661"/>
      <c r="M43" s="661"/>
      <c r="N43" s="661"/>
      <c r="O43" s="661"/>
      <c r="P43" s="661"/>
      <c r="Q43" s="661"/>
      <c r="R43" s="661"/>
      <c r="S43" s="657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57"/>
      <c r="AJ43" s="661"/>
      <c r="AK43" s="661"/>
      <c r="AL43" s="661"/>
      <c r="AM43" s="661"/>
      <c r="AN43" s="661"/>
      <c r="AO43" s="661"/>
      <c r="AP43" s="661"/>
      <c r="AQ43" s="661"/>
      <c r="AR43" s="661"/>
      <c r="AS43" s="661"/>
      <c r="AT43" s="661"/>
      <c r="AU43" s="661"/>
      <c r="AV43" s="661"/>
      <c r="AW43" s="661"/>
      <c r="AX43" s="661"/>
      <c r="AY43" s="657"/>
      <c r="AZ43" s="661"/>
      <c r="BA43" s="661"/>
      <c r="BB43" s="661"/>
      <c r="BC43" s="661"/>
      <c r="BD43" s="661"/>
      <c r="BE43" s="661"/>
      <c r="BF43" s="661"/>
      <c r="BG43" s="661"/>
      <c r="BH43" s="661"/>
      <c r="BI43" s="661"/>
      <c r="BJ43" s="661"/>
      <c r="BK43" s="661"/>
      <c r="BL43" s="661"/>
      <c r="BM43" s="661"/>
      <c r="BN43" s="661"/>
      <c r="BO43" s="657"/>
      <c r="BP43" s="661"/>
      <c r="BQ43" s="661"/>
      <c r="BR43" s="661"/>
      <c r="BS43" s="661"/>
      <c r="BT43" s="661"/>
      <c r="BU43" s="661"/>
      <c r="BV43" s="661"/>
      <c r="BW43" s="661"/>
      <c r="BX43" s="661"/>
      <c r="BY43" s="661"/>
      <c r="BZ43" s="661"/>
      <c r="CA43" s="661"/>
      <c r="CB43" s="661"/>
      <c r="CC43" s="661"/>
      <c r="CD43" s="661"/>
      <c r="CE43" s="657"/>
      <c r="CF43" s="657"/>
      <c r="CG43" s="657"/>
      <c r="CH43" s="661">
        <f aca="true" t="shared" si="91" ref="CH43:CM43">+CH12-CH32</f>
        <v>0</v>
      </c>
      <c r="CI43" s="661">
        <f t="shared" si="91"/>
        <v>0.2305536400526762</v>
      </c>
      <c r="CJ43" s="661">
        <f t="shared" si="91"/>
        <v>0</v>
      </c>
      <c r="CK43" s="661">
        <f t="shared" si="91"/>
        <v>-1.515918051087084E-07</v>
      </c>
      <c r="CL43" s="661">
        <f t="shared" si="91"/>
        <v>0</v>
      </c>
      <c r="CM43" s="661">
        <f t="shared" si="91"/>
        <v>0.2305536400526762</v>
      </c>
      <c r="CN43" s="661"/>
      <c r="CO43" s="661"/>
      <c r="CP43" s="661"/>
      <c r="CQ43" s="661"/>
      <c r="CR43" s="661"/>
      <c r="CS43" s="661"/>
      <c r="CT43" s="661"/>
    </row>
    <row r="44" spans="18:98" ht="12.75">
      <c r="R44" s="57"/>
      <c r="CT44" s="57"/>
    </row>
  </sheetData>
  <sheetProtection/>
  <mergeCells count="6">
    <mergeCell ref="C1:R1"/>
    <mergeCell ref="BO1:BY1"/>
    <mergeCell ref="CE1:CO1"/>
    <mergeCell ref="S1:AC1"/>
    <mergeCell ref="AI1:AS1"/>
    <mergeCell ref="AY1:BI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Width="2" horizontalDpi="600" verticalDpi="600" orientation="landscape" paperSize="9" scale="63" r:id="rId1"/>
  <headerFooter alignWithMargins="0">
    <oddHeader>&amp;L1. számú melléklet&amp;C&amp;"Arial,Félkövér"&amp;12
Nagykovácsi Nagyközség Önkormányzatának 2012. évi bevételei és kiadásai&amp;RA 2012. évi önkormányzati költségvetési rendelethez</oddHeader>
    <oddFooter>&amp;L&amp;"Arial,Dőlt"&amp;8&amp;D&amp;C&amp;P&amp;R&amp;"Arial,Dőlt"&amp;8&amp;F</oddFooter>
  </headerFooter>
  <colBreaks count="1" manualBreakCount="1">
    <brk id="50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9.57421875" style="101" customWidth="1"/>
    <col min="2" max="2" width="15.140625" style="101" customWidth="1"/>
    <col min="3" max="3" width="16.8515625" style="101" customWidth="1"/>
    <col min="4" max="4" width="11.57421875" style="101" customWidth="1"/>
    <col min="5" max="5" width="15.140625" style="101" customWidth="1"/>
    <col min="6" max="6" width="16.421875" style="101" bestFit="1" customWidth="1"/>
    <col min="7" max="16" width="15.140625" style="101" customWidth="1"/>
    <col min="17" max="16384" width="9.140625" style="101" customWidth="1"/>
  </cols>
  <sheetData>
    <row r="1" spans="1:2" ht="12.75" thickBot="1">
      <c r="A1" s="273"/>
      <c r="B1" s="273"/>
    </row>
    <row r="2" spans="1:8" s="278" customFormat="1" ht="38.25" customHeight="1" thickBot="1">
      <c r="A2" s="274" t="s">
        <v>475</v>
      </c>
      <c r="B2" s="275" t="s">
        <v>613</v>
      </c>
      <c r="C2" s="276" t="s">
        <v>614</v>
      </c>
      <c r="D2" s="276" t="s">
        <v>615</v>
      </c>
      <c r="E2" s="768" t="s">
        <v>617</v>
      </c>
      <c r="F2" s="276" t="s">
        <v>537</v>
      </c>
      <c r="G2" s="276" t="s">
        <v>380</v>
      </c>
      <c r="H2" s="277" t="s">
        <v>381</v>
      </c>
    </row>
    <row r="3" spans="1:8" ht="18" customHeight="1">
      <c r="A3" s="279" t="s">
        <v>382</v>
      </c>
      <c r="B3" s="280">
        <v>3136058</v>
      </c>
      <c r="C3" s="281">
        <v>3136058</v>
      </c>
      <c r="D3" s="281">
        <v>0</v>
      </c>
      <c r="E3" s="576">
        <f>B3-C3</f>
        <v>0</v>
      </c>
      <c r="F3" s="281">
        <f>C3</f>
        <v>3136058</v>
      </c>
      <c r="G3" s="281">
        <v>0</v>
      </c>
      <c r="H3" s="282">
        <v>2013</v>
      </c>
    </row>
    <row r="4" spans="1:8" ht="15.75" customHeight="1">
      <c r="A4" s="279" t="s">
        <v>383</v>
      </c>
      <c r="B4" s="280">
        <v>11680000</v>
      </c>
      <c r="C4" s="281">
        <v>2120000</v>
      </c>
      <c r="D4" s="281">
        <v>9560000</v>
      </c>
      <c r="E4" s="576">
        <v>0</v>
      </c>
      <c r="F4" s="281">
        <f>C4+D4</f>
        <v>11680000</v>
      </c>
      <c r="G4" s="281">
        <v>0</v>
      </c>
      <c r="H4" s="282">
        <v>2015</v>
      </c>
    </row>
    <row r="5" spans="1:8" ht="16.5" customHeight="1">
      <c r="A5" s="279" t="s">
        <v>384</v>
      </c>
      <c r="B5" s="280">
        <v>4692854</v>
      </c>
      <c r="C5" s="281">
        <v>1577242</v>
      </c>
      <c r="D5" s="281">
        <v>584634</v>
      </c>
      <c r="E5" s="576">
        <v>2530978</v>
      </c>
      <c r="F5" s="281">
        <f>C5+D5</f>
        <v>2161876</v>
      </c>
      <c r="G5" s="281">
        <f>E5</f>
        <v>2530978</v>
      </c>
      <c r="H5" s="282">
        <v>2015</v>
      </c>
    </row>
    <row r="6" spans="1:8" ht="15" customHeight="1">
      <c r="A6" s="279" t="s">
        <v>385</v>
      </c>
      <c r="B6" s="280">
        <v>2705000</v>
      </c>
      <c r="C6" s="281">
        <v>0</v>
      </c>
      <c r="D6" s="281">
        <v>1406600</v>
      </c>
      <c r="E6" s="576">
        <v>1298400</v>
      </c>
      <c r="F6" s="281">
        <f>C6+D6</f>
        <v>1406600</v>
      </c>
      <c r="G6" s="281">
        <f>E6</f>
        <v>1298400</v>
      </c>
      <c r="H6" s="282">
        <v>2016</v>
      </c>
    </row>
    <row r="7" spans="1:8" ht="17.25" customHeight="1" thickBot="1">
      <c r="A7" s="283" t="s">
        <v>386</v>
      </c>
      <c r="B7" s="280">
        <v>31971827</v>
      </c>
      <c r="C7" s="284">
        <v>3500000</v>
      </c>
      <c r="D7" s="284"/>
      <c r="E7" s="576">
        <f>B7-C7</f>
        <v>28471827</v>
      </c>
      <c r="F7" s="284">
        <f>C7+D7</f>
        <v>3500000</v>
      </c>
      <c r="G7" s="281">
        <f>E7</f>
        <v>28471827</v>
      </c>
      <c r="H7" s="285">
        <v>2022</v>
      </c>
    </row>
    <row r="8" spans="1:8" ht="17.25" customHeight="1" thickBot="1">
      <c r="A8" s="286" t="s">
        <v>387</v>
      </c>
      <c r="B8" s="287">
        <f>SUM(B3:B7)</f>
        <v>54185739</v>
      </c>
      <c r="C8" s="287">
        <f>SUM(C3:C7)</f>
        <v>10333300</v>
      </c>
      <c r="D8" s="287">
        <f>SUM(D4:D7)</f>
        <v>11551234</v>
      </c>
      <c r="E8" s="577">
        <f>SUM(E3:E7)</f>
        <v>32301205</v>
      </c>
      <c r="F8" s="287">
        <f>SUM(F3:F7)</f>
        <v>21884534</v>
      </c>
      <c r="G8" s="287">
        <f>SUM(G3:G7)</f>
        <v>32301205</v>
      </c>
      <c r="H8" s="288"/>
    </row>
    <row r="9" spans="1:8" ht="16.5" customHeight="1">
      <c r="A9" s="289" t="s">
        <v>388</v>
      </c>
      <c r="B9" s="290">
        <v>323242474</v>
      </c>
      <c r="C9" s="290">
        <v>28890841</v>
      </c>
      <c r="D9" s="290">
        <v>184711353</v>
      </c>
      <c r="E9" s="578">
        <v>109640280</v>
      </c>
      <c r="F9" s="290">
        <f>C9+D9</f>
        <v>213602194</v>
      </c>
      <c r="G9" s="290">
        <f>E9</f>
        <v>109640280</v>
      </c>
      <c r="H9" s="291">
        <v>2021</v>
      </c>
    </row>
    <row r="10" spans="1:8" ht="15" customHeight="1" thickBot="1">
      <c r="A10" s="283" t="s">
        <v>389</v>
      </c>
      <c r="B10" s="284"/>
      <c r="C10" s="284"/>
      <c r="D10" s="284"/>
      <c r="E10" s="579">
        <v>6197396</v>
      </c>
      <c r="F10" s="284"/>
      <c r="G10" s="284">
        <f>+E10</f>
        <v>6197396</v>
      </c>
      <c r="H10" s="285"/>
    </row>
    <row r="11" spans="1:8" ht="15.75" customHeight="1" thickBot="1">
      <c r="A11" s="292" t="s">
        <v>390</v>
      </c>
      <c r="B11" s="293">
        <f aca="true" t="shared" si="0" ref="B11:G11">SUM(B9:B10)</f>
        <v>323242474</v>
      </c>
      <c r="C11" s="293">
        <f t="shared" si="0"/>
        <v>28890841</v>
      </c>
      <c r="D11" s="293">
        <f t="shared" si="0"/>
        <v>184711353</v>
      </c>
      <c r="E11" s="580">
        <f t="shared" si="0"/>
        <v>115837676</v>
      </c>
      <c r="F11" s="293">
        <f t="shared" si="0"/>
        <v>213602194</v>
      </c>
      <c r="G11" s="293">
        <f t="shared" si="0"/>
        <v>115837676</v>
      </c>
      <c r="H11" s="294"/>
    </row>
    <row r="12" spans="2:8" ht="12.75" thickBot="1">
      <c r="B12" s="295"/>
      <c r="C12" s="296"/>
      <c r="D12" s="296"/>
      <c r="E12" s="581"/>
      <c r="F12" s="297"/>
      <c r="G12" s="297"/>
      <c r="H12" s="296"/>
    </row>
    <row r="13" spans="1:8" ht="12.75" thickBot="1">
      <c r="A13" s="299" t="s">
        <v>391</v>
      </c>
      <c r="B13" s="300">
        <f>+B8+B11</f>
        <v>377428213</v>
      </c>
      <c r="C13" s="300">
        <f>+C8+C11</f>
        <v>39224141</v>
      </c>
      <c r="D13" s="300">
        <f>D8+D11</f>
        <v>196262587</v>
      </c>
      <c r="E13" s="582">
        <f>+E8+E11</f>
        <v>148138881</v>
      </c>
      <c r="F13" s="300">
        <f>+F8+F11</f>
        <v>235486728</v>
      </c>
      <c r="G13" s="300">
        <f>+G8+G11</f>
        <v>148138881</v>
      </c>
      <c r="H13" s="301"/>
    </row>
    <row r="15" ht="12">
      <c r="F15" s="298"/>
    </row>
    <row r="16" ht="12">
      <c r="F16" s="298"/>
    </row>
    <row r="17" spans="5:6" ht="12">
      <c r="E17" s="298"/>
      <c r="F17" s="298"/>
    </row>
  </sheetData>
  <sheetProtection/>
  <printOptions horizontalCentered="1"/>
  <pageMargins left="0.2362204724409449" right="0.35433070866141736" top="1.535433070866142" bottom="0.984251968503937" header="0.5118110236220472" footer="0.5118110236220472"/>
  <pageSetup horizontalDpi="600" verticalDpi="600" orientation="landscape" paperSize="9" scale="93" r:id="rId1"/>
  <headerFooter alignWithMargins="0">
    <oddHeader>&amp;L4.sz.melléklet&amp;C&amp;"Arial,Félkövér"&amp;11Nagykovácsi Nagyközség Önkormányzat 
2013. évi
adósságállományának alakulása&amp;Radatok Ft-ban</oddHeader>
    <oddFooter>&amp;L&amp;D&amp;R&amp;F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0.421875" style="170" customWidth="1"/>
    <col min="2" max="2" width="61.140625" style="170" customWidth="1"/>
    <col min="3" max="3" width="24.57421875" style="170" customWidth="1"/>
    <col min="4" max="4" width="23.421875" style="170" customWidth="1"/>
    <col min="5" max="7" width="11.00390625" style="170" customWidth="1"/>
    <col min="8" max="8" width="10.57421875" style="170" customWidth="1"/>
    <col min="9" max="10" width="10.28125" style="170" customWidth="1"/>
    <col min="11" max="11" width="10.7109375" style="170" customWidth="1"/>
    <col min="12" max="16384" width="9.140625" style="170" customWidth="1"/>
  </cols>
  <sheetData>
    <row r="1" spans="1:4" ht="12.75">
      <c r="A1" s="172"/>
      <c r="B1" s="173"/>
      <c r="C1" s="173"/>
      <c r="D1" s="197"/>
    </row>
    <row r="2" spans="1:4" ht="12.75">
      <c r="A2" s="198" t="s">
        <v>444</v>
      </c>
      <c r="B2" s="174" t="s">
        <v>431</v>
      </c>
      <c r="C2" s="174" t="s">
        <v>283</v>
      </c>
      <c r="D2" s="174" t="s">
        <v>284</v>
      </c>
    </row>
    <row r="3" spans="1:4" ht="13.5" thickBot="1">
      <c r="A3" s="199"/>
      <c r="B3" s="177"/>
      <c r="C3" s="177"/>
      <c r="D3" s="177"/>
    </row>
    <row r="4" spans="1:4" ht="19.5" customHeight="1">
      <c r="A4" s="200">
        <v>1</v>
      </c>
      <c r="B4" s="182" t="s">
        <v>306</v>
      </c>
      <c r="C4" s="186">
        <v>290148</v>
      </c>
      <c r="D4" s="186">
        <v>302224</v>
      </c>
    </row>
    <row r="5" spans="1:4" ht="13.5" thickBot="1">
      <c r="A5" s="200">
        <v>2</v>
      </c>
      <c r="B5" s="182" t="s">
        <v>307</v>
      </c>
      <c r="C5" s="186">
        <v>183</v>
      </c>
      <c r="D5" s="186">
        <v>241</v>
      </c>
    </row>
    <row r="6" spans="1:4" ht="13.5" thickBot="1">
      <c r="A6" s="201">
        <v>3</v>
      </c>
      <c r="B6" s="62" t="s">
        <v>308</v>
      </c>
      <c r="C6" s="59">
        <f>SUM(C4:C5)</f>
        <v>290331</v>
      </c>
      <c r="D6" s="59">
        <f>SUM(D4:D5)</f>
        <v>302465</v>
      </c>
    </row>
    <row r="7" spans="1:4" ht="5.25" customHeight="1" hidden="1" thickBot="1">
      <c r="A7" s="200">
        <v>4</v>
      </c>
      <c r="B7" s="182" t="s">
        <v>309</v>
      </c>
      <c r="C7" s="186">
        <v>0</v>
      </c>
      <c r="D7" s="186">
        <v>0</v>
      </c>
    </row>
    <row r="8" spans="1:4" ht="13.5" hidden="1" thickBot="1">
      <c r="A8" s="200">
        <v>5</v>
      </c>
      <c r="B8" s="182" t="s">
        <v>310</v>
      </c>
      <c r="C8" s="186">
        <v>0</v>
      </c>
      <c r="D8" s="186">
        <v>0</v>
      </c>
    </row>
    <row r="9" spans="1:4" ht="13.5" hidden="1" thickBot="1">
      <c r="A9" s="200">
        <v>6</v>
      </c>
      <c r="B9" s="182" t="s">
        <v>311</v>
      </c>
      <c r="C9" s="186">
        <v>12239</v>
      </c>
      <c r="D9" s="186">
        <v>12239</v>
      </c>
    </row>
    <row r="10" spans="1:4" ht="13.5" hidden="1" thickBot="1">
      <c r="A10" s="200">
        <v>7</v>
      </c>
      <c r="B10" s="182" t="s">
        <v>312</v>
      </c>
      <c r="C10" s="186">
        <v>20822</v>
      </c>
      <c r="D10" s="186">
        <v>20822</v>
      </c>
    </row>
    <row r="11" spans="1:4" ht="13.5" hidden="1" thickBot="1">
      <c r="A11" s="200">
        <v>8</v>
      </c>
      <c r="B11" s="182" t="s">
        <v>313</v>
      </c>
      <c r="C11" s="186">
        <v>1</v>
      </c>
      <c r="D11" s="186">
        <v>1</v>
      </c>
    </row>
    <row r="12" spans="1:4" ht="13.5" hidden="1" thickBot="1">
      <c r="A12" s="200">
        <v>9</v>
      </c>
      <c r="B12" s="182" t="s">
        <v>314</v>
      </c>
      <c r="C12" s="186">
        <v>220</v>
      </c>
      <c r="D12" s="186">
        <v>220</v>
      </c>
    </row>
    <row r="13" spans="1:5" ht="12" customHeight="1" thickBot="1">
      <c r="A13" s="202">
        <v>4</v>
      </c>
      <c r="B13" s="203" t="s">
        <v>315</v>
      </c>
      <c r="C13" s="59">
        <v>-5293</v>
      </c>
      <c r="D13" s="59">
        <v>-5746</v>
      </c>
      <c r="E13" s="171"/>
    </row>
    <row r="14" spans="1:4" ht="12.75">
      <c r="A14" s="200">
        <v>5</v>
      </c>
      <c r="B14" s="182" t="s">
        <v>316</v>
      </c>
      <c r="C14" s="186">
        <v>153470</v>
      </c>
      <c r="D14" s="186">
        <v>153470</v>
      </c>
    </row>
    <row r="15" spans="1:4" ht="13.5" thickBot="1">
      <c r="A15" s="200">
        <v>6</v>
      </c>
      <c r="B15" s="182" t="s">
        <v>317</v>
      </c>
      <c r="C15" s="186"/>
      <c r="D15" s="186"/>
    </row>
    <row r="16" spans="1:4" ht="15" customHeight="1" thickBot="1">
      <c r="A16" s="202">
        <v>7</v>
      </c>
      <c r="B16" s="203" t="s">
        <v>236</v>
      </c>
      <c r="C16" s="204">
        <f>C6+C13-C14</f>
        <v>131568</v>
      </c>
      <c r="D16" s="204">
        <f>D6+D13-D14</f>
        <v>143249</v>
      </c>
    </row>
    <row r="17" spans="1:4" ht="1.5" customHeight="1">
      <c r="A17" s="200">
        <v>8</v>
      </c>
      <c r="B17" s="182" t="s">
        <v>318</v>
      </c>
      <c r="C17" s="186"/>
      <c r="D17" s="186"/>
    </row>
    <row r="18" spans="1:4" ht="12.75" hidden="1">
      <c r="A18" s="200">
        <v>15</v>
      </c>
      <c r="B18" s="182" t="s">
        <v>319</v>
      </c>
      <c r="C18" s="186"/>
      <c r="D18" s="186"/>
    </row>
    <row r="19" spans="1:4" ht="12.75" hidden="1">
      <c r="A19" s="200">
        <v>16</v>
      </c>
      <c r="B19" s="182" t="s">
        <v>320</v>
      </c>
      <c r="C19" s="186"/>
      <c r="D19" s="186"/>
    </row>
    <row r="20" spans="1:4" ht="12.75">
      <c r="A20" s="200">
        <v>9</v>
      </c>
      <c r="B20" s="182" t="s">
        <v>321</v>
      </c>
      <c r="C20" s="186">
        <v>604</v>
      </c>
      <c r="D20" s="186">
        <v>-9767</v>
      </c>
    </row>
    <row r="21" spans="1:4" ht="12" customHeight="1">
      <c r="A21" s="200">
        <v>10</v>
      </c>
      <c r="B21" s="182" t="s">
        <v>322</v>
      </c>
      <c r="C21" s="186"/>
      <c r="D21" s="186"/>
    </row>
    <row r="22" spans="1:4" ht="12.75" hidden="1">
      <c r="A22" s="200">
        <v>19</v>
      </c>
      <c r="B22" s="205" t="s">
        <v>323</v>
      </c>
      <c r="C22" s="206">
        <f>SUM(C16:C21)</f>
        <v>132172</v>
      </c>
      <c r="D22" s="206">
        <f>SUM(D16:D21)</f>
        <v>133482</v>
      </c>
    </row>
    <row r="23" spans="1:4" ht="12.75">
      <c r="A23" s="200">
        <v>11</v>
      </c>
      <c r="B23" s="182" t="s">
        <v>324</v>
      </c>
      <c r="C23" s="186"/>
      <c r="D23" s="186"/>
    </row>
    <row r="24" spans="1:4" ht="13.5" thickBot="1">
      <c r="A24" s="200">
        <v>12</v>
      </c>
      <c r="B24" s="182" t="s">
        <v>325</v>
      </c>
      <c r="C24" s="186"/>
      <c r="D24" s="186">
        <v>1905</v>
      </c>
    </row>
    <row r="25" spans="1:4" ht="15" customHeight="1" thickBot="1">
      <c r="A25" s="207">
        <v>13</v>
      </c>
      <c r="B25" s="208" t="s">
        <v>237</v>
      </c>
      <c r="C25" s="209">
        <f>C22</f>
        <v>132172</v>
      </c>
      <c r="D25" s="209">
        <f>D16+D20+D24</f>
        <v>135387</v>
      </c>
    </row>
    <row r="26" spans="1:4" ht="12.75">
      <c r="A26" s="200">
        <v>14</v>
      </c>
      <c r="B26" s="182" t="s">
        <v>326</v>
      </c>
      <c r="C26" s="182"/>
      <c r="D26" s="182"/>
    </row>
    <row r="27" spans="1:4" ht="12.75">
      <c r="A27" s="200">
        <v>15</v>
      </c>
      <c r="B27" s="182" t="s">
        <v>327</v>
      </c>
      <c r="C27" s="431">
        <v>132172</v>
      </c>
      <c r="D27" s="431">
        <v>123785</v>
      </c>
    </row>
    <row r="28" spans="1:4" ht="13.5" thickBot="1">
      <c r="A28" s="210">
        <v>16</v>
      </c>
      <c r="B28" s="211" t="s">
        <v>328</v>
      </c>
      <c r="C28" s="302"/>
      <c r="D28" s="302">
        <v>11602</v>
      </c>
    </row>
    <row r="29" spans="1:4" ht="13.5" hidden="1" thickBot="1">
      <c r="A29" s="212">
        <v>26</v>
      </c>
      <c r="B29" s="213" t="s">
        <v>329</v>
      </c>
      <c r="C29" s="214">
        <f>C25</f>
        <v>132172</v>
      </c>
      <c r="D29" s="214">
        <f>D25</f>
        <v>135387</v>
      </c>
    </row>
  </sheetData>
  <sheetProtection/>
  <printOptions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3"/>
  <headerFooter alignWithMargins="0">
    <oddHeader>&amp;L5.sz.melléklet&amp;C&amp;"Arial,Félkövér"Nagykovácsi Nagyközség Önkormányzat 
2013. évi egyszerűsített pénzmaradvány kimutatás&amp;Radatok ezer Ft-ban</oddHeader>
    <oddFooter>&amp;L&amp;D&amp;R&amp;F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7109375" style="0" customWidth="1"/>
    <col min="2" max="2" width="67.421875" style="0" bestFit="1" customWidth="1"/>
    <col min="3" max="3" width="26.140625" style="57" customWidth="1"/>
    <col min="4" max="4" width="26.57421875" style="0" customWidth="1"/>
    <col min="5" max="5" width="11.140625" style="0" bestFit="1" customWidth="1"/>
  </cols>
  <sheetData>
    <row r="1" spans="1:4" ht="50.25" customHeight="1" thickBot="1">
      <c r="A1" s="662" t="s">
        <v>444</v>
      </c>
      <c r="B1" s="663" t="s">
        <v>431</v>
      </c>
      <c r="C1" s="664" t="s">
        <v>373</v>
      </c>
      <c r="D1" s="665" t="s">
        <v>374</v>
      </c>
    </row>
    <row r="2" spans="1:4" ht="12.75">
      <c r="A2" s="666" t="s">
        <v>449</v>
      </c>
      <c r="B2" s="667" t="s">
        <v>375</v>
      </c>
      <c r="C2" s="668"/>
      <c r="D2" s="669"/>
    </row>
    <row r="3" spans="1:4" ht="12.75">
      <c r="A3" s="670" t="s">
        <v>452</v>
      </c>
      <c r="B3" s="667" t="s">
        <v>377</v>
      </c>
      <c r="C3" s="671">
        <v>132172</v>
      </c>
      <c r="D3" s="672"/>
    </row>
    <row r="4" spans="1:4" ht="12.75" hidden="1">
      <c r="A4" s="670"/>
      <c r="B4" s="667"/>
      <c r="C4" s="671"/>
      <c r="D4" s="672"/>
    </row>
    <row r="5" spans="1:4" ht="12.75" hidden="1">
      <c r="A5" s="670"/>
      <c r="B5" s="667"/>
      <c r="C5" s="671"/>
      <c r="D5" s="672"/>
    </row>
    <row r="6" spans="1:4" ht="12.75" hidden="1">
      <c r="A6" s="670"/>
      <c r="B6" s="667"/>
      <c r="C6" s="671"/>
      <c r="D6" s="672"/>
    </row>
    <row r="7" spans="1:4" ht="12.75" hidden="1">
      <c r="A7" s="670"/>
      <c r="B7" s="667"/>
      <c r="C7" s="671"/>
      <c r="D7" s="672"/>
    </row>
    <row r="8" spans="1:4" ht="12.75" hidden="1">
      <c r="A8" s="670"/>
      <c r="B8" s="667"/>
      <c r="C8" s="671"/>
      <c r="D8" s="672"/>
    </row>
    <row r="9" spans="1:4" ht="12.75" hidden="1">
      <c r="A9" s="670"/>
      <c r="B9" s="667"/>
      <c r="C9" s="671"/>
      <c r="D9" s="672"/>
    </row>
    <row r="10" spans="1:4" ht="12.75" hidden="1">
      <c r="A10" s="670"/>
      <c r="B10" s="667"/>
      <c r="C10" s="671"/>
      <c r="D10" s="672"/>
    </row>
    <row r="11" spans="1:4" s="2" customFormat="1" ht="12.75" hidden="1">
      <c r="A11" s="673"/>
      <c r="B11" s="674" t="s">
        <v>376</v>
      </c>
      <c r="C11" s="671"/>
      <c r="D11" s="672"/>
    </row>
    <row r="12" spans="1:4" ht="13.5" thickBot="1">
      <c r="A12" s="675" t="s">
        <v>455</v>
      </c>
      <c r="B12" s="676" t="s">
        <v>378</v>
      </c>
      <c r="C12" s="677"/>
      <c r="D12" s="678">
        <f>+C12</f>
        <v>0</v>
      </c>
    </row>
    <row r="13" spans="1:5" ht="28.5" customHeight="1" thickBot="1">
      <c r="A13" s="679" t="s">
        <v>457</v>
      </c>
      <c r="B13" s="680" t="s">
        <v>379</v>
      </c>
      <c r="C13" s="681">
        <f>SUM(C3:C12)</f>
        <v>132172</v>
      </c>
      <c r="D13" s="682">
        <f>SUM(D3:D12)</f>
        <v>0</v>
      </c>
      <c r="E13" s="57"/>
    </row>
    <row r="14" spans="1:4" ht="12.75">
      <c r="A14" s="657"/>
      <c r="B14" s="657"/>
      <c r="C14" s="661"/>
      <c r="D14" s="657"/>
    </row>
    <row r="15" spans="1:4" ht="12.75">
      <c r="A15" s="657"/>
      <c r="B15" s="575"/>
      <c r="C15" s="661"/>
      <c r="D15" s="657"/>
    </row>
    <row r="16" spans="1:4" ht="12.75">
      <c r="A16" s="657"/>
      <c r="B16" s="657"/>
      <c r="C16" s="661"/>
      <c r="D16" s="657"/>
    </row>
  </sheetData>
  <sheetProtection/>
  <printOptions/>
  <pageMargins left="0.64" right="0.47" top="1.9" bottom="1" header="0.5" footer="0.5"/>
  <pageSetup horizontalDpi="600" verticalDpi="600" orientation="landscape" paperSize="9" r:id="rId1"/>
  <headerFooter alignWithMargins="0">
    <oddHeader>&amp;L
8/A.sz.melléklet&amp;C&amp;"Arial,Félkövér"Nagykovácsi Nagyközség Önkormányzat 
2012.évi 
pénzmaradvány felosztása&amp;R
adatok Ft-ban</oddHeader>
    <oddFooter>&amp;C&amp;P&amp;R&amp;F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2:D44"/>
  <sheetViews>
    <sheetView zoomScalePageLayoutView="0" workbookViewId="0" topLeftCell="A28">
      <selection activeCell="A40" sqref="A40"/>
    </sheetView>
  </sheetViews>
  <sheetFormatPr defaultColWidth="9.140625" defaultRowHeight="12.75"/>
  <cols>
    <col min="1" max="1" width="44.7109375" style="170" customWidth="1"/>
    <col min="2" max="2" width="18.57421875" style="171" customWidth="1"/>
    <col min="3" max="3" width="18.28125" style="171" customWidth="1"/>
    <col min="4" max="16384" width="9.140625" style="170" customWidth="1"/>
  </cols>
  <sheetData>
    <row r="1" ht="13.5" thickBot="1"/>
    <row r="2" spans="1:4" ht="12.75">
      <c r="A2" s="172"/>
      <c r="B2" s="889" t="s">
        <v>281</v>
      </c>
      <c r="C2" s="890"/>
      <c r="D2" s="173"/>
    </row>
    <row r="3" spans="1:4" ht="13.5" thickBot="1">
      <c r="A3" s="174" t="s">
        <v>431</v>
      </c>
      <c r="B3" s="891"/>
      <c r="C3" s="892"/>
      <c r="D3" s="174" t="s">
        <v>282</v>
      </c>
    </row>
    <row r="4" spans="1:4" ht="15" customHeight="1" thickBot="1">
      <c r="A4" s="175"/>
      <c r="B4" s="176" t="s">
        <v>283</v>
      </c>
      <c r="C4" s="176" t="s">
        <v>284</v>
      </c>
      <c r="D4" s="177" t="s">
        <v>285</v>
      </c>
    </row>
    <row r="5" spans="1:4" ht="12.75">
      <c r="A5" s="178"/>
      <c r="B5" s="179"/>
      <c r="C5" s="179"/>
      <c r="D5" s="174"/>
    </row>
    <row r="6" spans="1:4" ht="12.75">
      <c r="A6" s="180" t="s">
        <v>286</v>
      </c>
      <c r="B6" s="181"/>
      <c r="C6" s="181"/>
      <c r="D6" s="182"/>
    </row>
    <row r="7" spans="1:4" ht="12.75">
      <c r="A7" s="182"/>
      <c r="B7" s="181"/>
      <c r="C7" s="181"/>
      <c r="D7" s="182"/>
    </row>
    <row r="8" spans="1:4" ht="12.75">
      <c r="A8" s="183" t="s">
        <v>679</v>
      </c>
      <c r="B8" s="184">
        <f>SUM(B10:B13)</f>
        <v>14732218</v>
      </c>
      <c r="C8" s="184">
        <f>SUM(C10:C13)</f>
        <v>14863606</v>
      </c>
      <c r="D8" s="185">
        <f>C8/B8</f>
        <v>1.0089184126925084</v>
      </c>
    </row>
    <row r="9" spans="1:4" ht="12.75">
      <c r="A9" s="182"/>
      <c r="B9" s="186"/>
      <c r="C9" s="186"/>
      <c r="D9" s="187"/>
    </row>
    <row r="10" spans="1:4" ht="12.75">
      <c r="A10" s="182" t="s">
        <v>287</v>
      </c>
      <c r="B10" s="186">
        <v>2577</v>
      </c>
      <c r="C10" s="186">
        <v>1508</v>
      </c>
      <c r="D10" s="187">
        <f>C10/B10</f>
        <v>0.5851765618936748</v>
      </c>
    </row>
    <row r="11" spans="1:4" ht="12.75">
      <c r="A11" s="182" t="s">
        <v>288</v>
      </c>
      <c r="B11" s="186">
        <v>12576433</v>
      </c>
      <c r="C11" s="186">
        <v>12470400</v>
      </c>
      <c r="D11" s="187">
        <f>C11/B11</f>
        <v>0.991568913061438</v>
      </c>
    </row>
    <row r="12" spans="1:4" ht="12.75">
      <c r="A12" s="182" t="s">
        <v>289</v>
      </c>
      <c r="B12" s="186">
        <v>11184</v>
      </c>
      <c r="C12" s="186">
        <v>11271</v>
      </c>
      <c r="D12" s="187">
        <f>C12/B12</f>
        <v>1.0077789699570816</v>
      </c>
    </row>
    <row r="13" spans="1:4" ht="12.75">
      <c r="A13" s="182" t="s">
        <v>290</v>
      </c>
      <c r="B13" s="186">
        <v>2142024</v>
      </c>
      <c r="C13" s="186">
        <v>2380427</v>
      </c>
      <c r="D13" s="187">
        <f>C13/B13</f>
        <v>1.1112980059980653</v>
      </c>
    </row>
    <row r="14" spans="1:4" ht="12.75">
      <c r="A14" s="182"/>
      <c r="B14" s="186"/>
      <c r="C14" s="186"/>
      <c r="D14" s="187"/>
    </row>
    <row r="15" spans="1:4" ht="12.75">
      <c r="A15" s="183" t="s">
        <v>678</v>
      </c>
      <c r="B15" s="184">
        <f>SUM(B17:B21)</f>
        <v>391581</v>
      </c>
      <c r="C15" s="184">
        <f>SUM(C17:C21)</f>
        <v>370105</v>
      </c>
      <c r="D15" s="185">
        <f>C15/B15</f>
        <v>0.9451556638345578</v>
      </c>
    </row>
    <row r="16" spans="1:4" ht="12.75">
      <c r="A16" s="182"/>
      <c r="B16" s="186"/>
      <c r="C16" s="186"/>
      <c r="D16" s="187"/>
    </row>
    <row r="17" spans="1:4" ht="12.75">
      <c r="A17" s="182" t="s">
        <v>291</v>
      </c>
      <c r="B17" s="186">
        <v>0</v>
      </c>
      <c r="C17" s="186">
        <v>0</v>
      </c>
      <c r="D17" s="187"/>
    </row>
    <row r="18" spans="1:4" ht="12.75">
      <c r="A18" s="182" t="s">
        <v>292</v>
      </c>
      <c r="B18" s="186">
        <v>86256</v>
      </c>
      <c r="C18" s="186">
        <v>65146</v>
      </c>
      <c r="D18" s="187">
        <f>C18/B18</f>
        <v>0.75526340196624</v>
      </c>
    </row>
    <row r="19" spans="1:4" ht="12.75">
      <c r="A19" s="182" t="s">
        <v>293</v>
      </c>
      <c r="B19" s="186"/>
      <c r="C19" s="186"/>
      <c r="D19" s="187"/>
    </row>
    <row r="20" spans="1:4" ht="12.75">
      <c r="A20" s="182" t="s">
        <v>294</v>
      </c>
      <c r="B20" s="186">
        <v>292951</v>
      </c>
      <c r="C20" s="186">
        <v>304370</v>
      </c>
      <c r="D20" s="187">
        <f>C20/B20</f>
        <v>1.0389792149540367</v>
      </c>
    </row>
    <row r="21" spans="1:4" ht="12.75">
      <c r="A21" s="182" t="s">
        <v>295</v>
      </c>
      <c r="B21" s="186">
        <v>12374</v>
      </c>
      <c r="C21" s="186">
        <v>589</v>
      </c>
      <c r="D21" s="187">
        <f>C21/B21</f>
        <v>0.04759980604493293</v>
      </c>
    </row>
    <row r="22" spans="1:4" ht="13.5" thickBot="1">
      <c r="A22" s="188"/>
      <c r="B22" s="189"/>
      <c r="C22" s="189"/>
      <c r="D22" s="190"/>
    </row>
    <row r="23" spans="1:4" ht="14.25" thickBot="1" thickTop="1">
      <c r="A23" s="191" t="s">
        <v>296</v>
      </c>
      <c r="B23" s="192">
        <f>B8+B15</f>
        <v>15123799</v>
      </c>
      <c r="C23" s="192">
        <f>C8+C15</f>
        <v>15233711</v>
      </c>
      <c r="D23" s="193">
        <f>C23/B23</f>
        <v>1.0072674861653477</v>
      </c>
    </row>
    <row r="24" spans="1:4" ht="13.5" thickTop="1">
      <c r="A24" s="182"/>
      <c r="B24" s="186"/>
      <c r="C24" s="186"/>
      <c r="D24" s="182"/>
    </row>
    <row r="25" spans="1:4" ht="12.75">
      <c r="A25" s="180" t="s">
        <v>676</v>
      </c>
      <c r="B25" s="186"/>
      <c r="C25" s="186"/>
      <c r="D25" s="182"/>
    </row>
    <row r="26" spans="1:4" ht="12.75">
      <c r="A26" s="182"/>
      <c r="B26" s="186"/>
      <c r="C26" s="186"/>
      <c r="D26" s="182"/>
    </row>
    <row r="27" spans="1:4" ht="12.75">
      <c r="A27" s="183" t="s">
        <v>677</v>
      </c>
      <c r="B27" s="194">
        <f>SUM(B29:B31)</f>
        <v>14408708</v>
      </c>
      <c r="C27" s="194">
        <f>SUM(C29:C31)</f>
        <v>14717517</v>
      </c>
      <c r="D27" s="185">
        <f>C27/B27</f>
        <v>1.02143210897188</v>
      </c>
    </row>
    <row r="28" spans="1:4" ht="12.75">
      <c r="A28" s="182"/>
      <c r="B28" s="195"/>
      <c r="C28" s="195"/>
      <c r="D28" s="187"/>
    </row>
    <row r="29" spans="1:4" ht="12.75">
      <c r="A29" s="182" t="s">
        <v>297</v>
      </c>
      <c r="B29" s="196">
        <v>244360</v>
      </c>
      <c r="C29" s="196">
        <v>244360</v>
      </c>
      <c r="D29" s="187">
        <f>C29/B29</f>
        <v>1</v>
      </c>
    </row>
    <row r="30" spans="1:4" ht="12.75">
      <c r="A30" s="182" t="s">
        <v>298</v>
      </c>
      <c r="B30" s="196">
        <v>14164348</v>
      </c>
      <c r="C30" s="196">
        <v>14473157</v>
      </c>
      <c r="D30" s="187">
        <f>C30/B30</f>
        <v>1.0218018506746658</v>
      </c>
    </row>
    <row r="31" spans="1:4" ht="12.75">
      <c r="A31" s="182" t="s">
        <v>299</v>
      </c>
      <c r="B31" s="195"/>
      <c r="C31" s="195"/>
      <c r="D31" s="187"/>
    </row>
    <row r="32" spans="1:4" ht="12.75">
      <c r="A32" s="182"/>
      <c r="B32" s="186"/>
      <c r="C32" s="186"/>
      <c r="D32" s="187"/>
    </row>
    <row r="33" spans="1:4" ht="12.75">
      <c r="A33" s="183" t="s">
        <v>680</v>
      </c>
      <c r="B33" s="102">
        <v>285919</v>
      </c>
      <c r="C33" s="102">
        <v>298625</v>
      </c>
      <c r="D33" s="185">
        <f>C33/B33</f>
        <v>1.0444391593423312</v>
      </c>
    </row>
    <row r="34" spans="1:4" ht="12.75">
      <c r="A34" s="182"/>
      <c r="B34" s="186"/>
      <c r="C34" s="186"/>
      <c r="D34" s="187"/>
    </row>
    <row r="35" spans="1:4" ht="12.75">
      <c r="A35" s="182" t="s">
        <v>300</v>
      </c>
      <c r="B35" s="186">
        <v>285919</v>
      </c>
      <c r="C35" s="186">
        <v>298625</v>
      </c>
      <c r="D35" s="187">
        <f>C35/B35</f>
        <v>1.0444391593423312</v>
      </c>
    </row>
    <row r="36" spans="1:4" ht="12.75">
      <c r="A36" s="182" t="s">
        <v>301</v>
      </c>
      <c r="B36" s="186">
        <v>0</v>
      </c>
      <c r="C36" s="186">
        <v>0</v>
      </c>
      <c r="D36" s="187"/>
    </row>
    <row r="37" spans="1:4" ht="12.75">
      <c r="A37" s="182"/>
      <c r="B37" s="186"/>
      <c r="C37" s="186"/>
      <c r="D37" s="187"/>
    </row>
    <row r="38" spans="1:4" ht="12.75">
      <c r="A38" s="183" t="s">
        <v>681</v>
      </c>
      <c r="B38" s="184">
        <f>SUM(B40:B42)</f>
        <v>429172</v>
      </c>
      <c r="C38" s="184">
        <f>SUM(C40:C42)</f>
        <v>217569</v>
      </c>
      <c r="D38" s="185">
        <f>C38/B38</f>
        <v>0.5069505932353462</v>
      </c>
    </row>
    <row r="39" spans="1:4" ht="12.75">
      <c r="A39" s="182"/>
      <c r="B39" s="186"/>
      <c r="C39" s="186"/>
      <c r="D39" s="187"/>
    </row>
    <row r="40" spans="1:4" ht="12.75">
      <c r="A40" s="182" t="s">
        <v>302</v>
      </c>
      <c r="B40" s="186">
        <v>352883</v>
      </c>
      <c r="C40" s="186">
        <v>119666</v>
      </c>
      <c r="D40" s="187">
        <f>C40/B40</f>
        <v>0.33910956322633845</v>
      </c>
    </row>
    <row r="41" spans="1:4" ht="12.75">
      <c r="A41" s="182" t="s">
        <v>303</v>
      </c>
      <c r="B41" s="186">
        <v>56884</v>
      </c>
      <c r="C41" s="186">
        <v>91569</v>
      </c>
      <c r="D41" s="187">
        <f>C41/B41</f>
        <v>1.6097496659869208</v>
      </c>
    </row>
    <row r="42" spans="1:4" ht="12.75">
      <c r="A42" s="182" t="s">
        <v>304</v>
      </c>
      <c r="B42" s="186">
        <v>19405</v>
      </c>
      <c r="C42" s="186">
        <v>6334</v>
      </c>
      <c r="D42" s="187">
        <f>C42/B42</f>
        <v>0.32641071888688483</v>
      </c>
    </row>
    <row r="43" spans="1:4" ht="13.5" thickBot="1">
      <c r="A43" s="182"/>
      <c r="B43" s="186"/>
      <c r="C43" s="186"/>
      <c r="D43" s="187"/>
    </row>
    <row r="44" spans="1:4" ht="14.25" thickBot="1" thickTop="1">
      <c r="A44" s="191" t="s">
        <v>305</v>
      </c>
      <c r="B44" s="192">
        <f>B27+B33+B38</f>
        <v>15123799</v>
      </c>
      <c r="C44" s="192">
        <f>C27+C33+C38</f>
        <v>15233711</v>
      </c>
      <c r="D44" s="193">
        <f>C44/B44</f>
        <v>1.0072674861653477</v>
      </c>
    </row>
    <row r="45" ht="13.5" thickTop="1"/>
  </sheetData>
  <sheetProtection/>
  <mergeCells count="1">
    <mergeCell ref="B2:C3"/>
  </mergeCells>
  <printOptions/>
  <pageMargins left="0.5118110236220472" right="0.5511811023622047" top="1.3385826771653544" bottom="0.984251968503937" header="0.5118110236220472" footer="0.5118110236220472"/>
  <pageSetup horizontalDpi="600" verticalDpi="600" orientation="portrait" paperSize="9" r:id="rId1"/>
  <headerFooter alignWithMargins="0">
    <oddHeader>&amp;L6. sz.melléklet &amp;C&amp;"Arial,Félkövér"Nagykovácsi Nagyközség Önkormányzat
2013. évi egyszerűsített mérleg&amp;Radatok eFt-ban</oddHeader>
    <oddFooter>&amp;L&amp;D&amp;R&amp;F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7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1" width="7.8515625" style="2" customWidth="1"/>
    <col min="2" max="2" width="67.57421875" style="2" customWidth="1"/>
    <col min="3" max="3" width="16.57421875" style="2" customWidth="1"/>
    <col min="4" max="4" width="15.28125" style="2" customWidth="1"/>
    <col min="5" max="5" width="14.00390625" style="2" customWidth="1"/>
    <col min="6" max="6" width="9.421875" style="2" customWidth="1"/>
    <col min="7" max="16384" width="9.140625" style="2" customWidth="1"/>
  </cols>
  <sheetData>
    <row r="1" spans="1:6" ht="12.75">
      <c r="A1" s="215"/>
      <c r="B1" s="215"/>
      <c r="C1" s="215"/>
      <c r="D1" s="215"/>
      <c r="E1" s="215"/>
      <c r="F1" s="215"/>
    </row>
    <row r="2" spans="1:6" ht="13.5" thickBot="1">
      <c r="A2" s="216" t="s">
        <v>444</v>
      </c>
      <c r="B2" s="216" t="s">
        <v>431</v>
      </c>
      <c r="C2" s="169" t="s">
        <v>114</v>
      </c>
      <c r="D2" s="169" t="s">
        <v>115</v>
      </c>
      <c r="E2" s="217" t="s">
        <v>144</v>
      </c>
      <c r="F2" s="216" t="s">
        <v>282</v>
      </c>
    </row>
    <row r="3" spans="1:6" ht="13.5" thickBot="1">
      <c r="A3" s="218"/>
      <c r="B3" s="218"/>
      <c r="C3" s="886" t="s">
        <v>435</v>
      </c>
      <c r="D3" s="888"/>
      <c r="E3" s="219"/>
      <c r="F3" s="151" t="s">
        <v>285</v>
      </c>
    </row>
    <row r="4" spans="1:6" ht="12.75">
      <c r="A4" s="220">
        <v>1</v>
      </c>
      <c r="B4" s="221" t="s">
        <v>330</v>
      </c>
      <c r="C4" s="583">
        <v>8539</v>
      </c>
      <c r="D4" s="583">
        <v>15752</v>
      </c>
      <c r="E4" s="583">
        <v>14552</v>
      </c>
      <c r="F4" s="222">
        <f aca="true" t="shared" si="0" ref="F4:F15">E4/D4</f>
        <v>0.9238191975622143</v>
      </c>
    </row>
    <row r="5" spans="1:6" ht="12.75">
      <c r="A5" s="220">
        <v>2</v>
      </c>
      <c r="B5" s="158" t="s">
        <v>481</v>
      </c>
      <c r="C5" s="584">
        <v>2458</v>
      </c>
      <c r="D5" s="584">
        <v>4173</v>
      </c>
      <c r="E5" s="584">
        <v>3824</v>
      </c>
      <c r="F5" s="223">
        <f t="shared" si="0"/>
        <v>0.9163671219745986</v>
      </c>
    </row>
    <row r="6" spans="1:6" ht="12.75">
      <c r="A6" s="220">
        <v>3</v>
      </c>
      <c r="B6" s="158" t="s">
        <v>331</v>
      </c>
      <c r="C6" s="584">
        <v>337446</v>
      </c>
      <c r="D6" s="584">
        <v>400394</v>
      </c>
      <c r="E6" s="584">
        <v>398883</v>
      </c>
      <c r="F6" s="223">
        <f t="shared" si="0"/>
        <v>0.9962262171760815</v>
      </c>
    </row>
    <row r="7" spans="1:6" ht="12.75">
      <c r="A7" s="220">
        <v>4</v>
      </c>
      <c r="B7" s="158" t="s">
        <v>84</v>
      </c>
      <c r="C7" s="584">
        <v>397403</v>
      </c>
      <c r="D7" s="584">
        <v>366319</v>
      </c>
      <c r="E7" s="584">
        <v>356551</v>
      </c>
      <c r="F7" s="152">
        <f t="shared" si="0"/>
        <v>0.9733347164629735</v>
      </c>
    </row>
    <row r="8" spans="1:6" ht="12.75">
      <c r="A8" s="220">
        <v>5</v>
      </c>
      <c r="B8" s="158" t="s">
        <v>86</v>
      </c>
      <c r="C8" s="584">
        <v>16706</v>
      </c>
      <c r="D8" s="584">
        <v>86172</v>
      </c>
      <c r="E8" s="584">
        <v>40316</v>
      </c>
      <c r="F8" s="152">
        <f t="shared" si="0"/>
        <v>0.46785498769902056</v>
      </c>
    </row>
    <row r="9" spans="1:6" ht="12.75">
      <c r="A9" s="220">
        <v>6</v>
      </c>
      <c r="B9" s="158" t="s">
        <v>332</v>
      </c>
      <c r="C9" s="584">
        <v>5670</v>
      </c>
      <c r="D9" s="584">
        <v>12641</v>
      </c>
      <c r="E9" s="584">
        <v>12349</v>
      </c>
      <c r="F9" s="223">
        <f t="shared" si="0"/>
        <v>0.9769005616644253</v>
      </c>
    </row>
    <row r="10" spans="1:6" ht="12.75">
      <c r="A10" s="220">
        <v>7</v>
      </c>
      <c r="B10" s="158" t="s">
        <v>428</v>
      </c>
      <c r="C10" s="584">
        <v>186225</v>
      </c>
      <c r="D10" s="584">
        <v>169262</v>
      </c>
      <c r="E10" s="584">
        <v>60892</v>
      </c>
      <c r="F10" s="223">
        <f t="shared" si="0"/>
        <v>0.3597499734139972</v>
      </c>
    </row>
    <row r="11" spans="1:6" ht="12.75">
      <c r="A11" s="220">
        <v>8</v>
      </c>
      <c r="B11" s="224" t="s">
        <v>4</v>
      </c>
      <c r="C11" s="585">
        <v>707109</v>
      </c>
      <c r="D11" s="584">
        <v>443814</v>
      </c>
      <c r="E11" s="584">
        <v>262487</v>
      </c>
      <c r="F11" s="226">
        <f t="shared" si="0"/>
        <v>0.5914347001221232</v>
      </c>
    </row>
    <row r="12" spans="1:6" ht="12.75">
      <c r="A12" s="220">
        <v>9</v>
      </c>
      <c r="B12" s="158" t="s">
        <v>333</v>
      </c>
      <c r="C12" s="585"/>
      <c r="D12" s="585"/>
      <c r="E12" s="585"/>
      <c r="F12" s="226"/>
    </row>
    <row r="13" spans="1:6" ht="12.75">
      <c r="A13" s="220">
        <v>10</v>
      </c>
      <c r="B13" s="158" t="s">
        <v>334</v>
      </c>
      <c r="C13" s="585"/>
      <c r="D13" s="585"/>
      <c r="E13" s="585"/>
      <c r="F13" s="226"/>
    </row>
    <row r="14" spans="1:6" ht="12.75">
      <c r="A14" s="227">
        <v>11</v>
      </c>
      <c r="B14" s="224" t="s">
        <v>335</v>
      </c>
      <c r="C14" s="585"/>
      <c r="D14" s="585"/>
      <c r="E14" s="585"/>
      <c r="F14" s="226"/>
    </row>
    <row r="15" spans="1:6" ht="13.5" thickBot="1">
      <c r="A15" s="228">
        <v>12</v>
      </c>
      <c r="B15" s="229" t="s">
        <v>336</v>
      </c>
      <c r="C15" s="586"/>
      <c r="D15" s="586">
        <v>1700</v>
      </c>
      <c r="E15" s="586">
        <v>1700</v>
      </c>
      <c r="F15" s="231">
        <f t="shared" si="0"/>
        <v>1</v>
      </c>
    </row>
    <row r="16" spans="1:6" ht="13.5" thickTop="1">
      <c r="A16" s="232">
        <v>13</v>
      </c>
      <c r="B16" s="233" t="s">
        <v>337</v>
      </c>
      <c r="C16" s="587"/>
      <c r="D16" s="587"/>
      <c r="E16" s="587"/>
      <c r="F16" s="234"/>
    </row>
    <row r="17" spans="1:6" ht="12.75">
      <c r="A17" s="235">
        <v>14</v>
      </c>
      <c r="B17" s="158" t="s">
        <v>338</v>
      </c>
      <c r="C17" s="584">
        <v>24545</v>
      </c>
      <c r="D17" s="584">
        <v>43629</v>
      </c>
      <c r="E17" s="584">
        <v>47786</v>
      </c>
      <c r="F17" s="226">
        <f>E17/D17</f>
        <v>1.0952806619450366</v>
      </c>
    </row>
    <row r="18" spans="1:6" ht="12.75">
      <c r="A18" s="236">
        <v>15</v>
      </c>
      <c r="B18" s="158" t="s">
        <v>339</v>
      </c>
      <c r="C18" s="585"/>
      <c r="D18" s="585"/>
      <c r="E18" s="585"/>
      <c r="F18" s="226"/>
    </row>
    <row r="19" spans="1:6" ht="12.75">
      <c r="A19" s="236">
        <v>16</v>
      </c>
      <c r="B19" s="224" t="s">
        <v>87</v>
      </c>
      <c r="C19" s="585"/>
      <c r="D19" s="585"/>
      <c r="E19" s="585"/>
      <c r="F19" s="226"/>
    </row>
    <row r="20" spans="1:6" ht="13.5" thickBot="1">
      <c r="A20" s="235">
        <v>17</v>
      </c>
      <c r="B20" s="158" t="s">
        <v>340</v>
      </c>
      <c r="C20" s="585"/>
      <c r="D20" s="585"/>
      <c r="E20" s="585"/>
      <c r="F20" s="231"/>
    </row>
    <row r="21" spans="1:6" ht="13.5" thickTop="1">
      <c r="A21" s="237">
        <v>18</v>
      </c>
      <c r="B21" s="238" t="s">
        <v>85</v>
      </c>
      <c r="C21" s="588">
        <f>SUM(C17:C20)</f>
        <v>24545</v>
      </c>
      <c r="D21" s="588">
        <f>SUM(D17:D20)</f>
        <v>43629</v>
      </c>
      <c r="E21" s="588">
        <f>SUM(E17:E20)</f>
        <v>47786</v>
      </c>
      <c r="F21" s="234">
        <f>E21/D21</f>
        <v>1.0952806619450366</v>
      </c>
    </row>
    <row r="22" spans="1:6" ht="12.75">
      <c r="A22" s="232"/>
      <c r="B22" s="233"/>
      <c r="C22" s="589"/>
      <c r="D22" s="587"/>
      <c r="E22" s="589"/>
      <c r="F22" s="239"/>
    </row>
    <row r="23" spans="1:6" s="242" customFormat="1" ht="12.75">
      <c r="A23" s="240">
        <v>19</v>
      </c>
      <c r="B23" s="241" t="s">
        <v>341</v>
      </c>
      <c r="C23" s="589">
        <f>C16+C21</f>
        <v>24545</v>
      </c>
      <c r="D23" s="589">
        <f>D16+D21</f>
        <v>43629</v>
      </c>
      <c r="E23" s="589">
        <f>E16+E21</f>
        <v>47786</v>
      </c>
      <c r="F23" s="239">
        <f>E23/D23</f>
        <v>1.0952806619450366</v>
      </c>
    </row>
    <row r="24" spans="1:6" ht="12.75">
      <c r="A24" s="235"/>
      <c r="B24" s="158"/>
      <c r="C24" s="584"/>
      <c r="D24" s="584"/>
      <c r="E24" s="584"/>
      <c r="F24" s="223"/>
    </row>
    <row r="25" spans="1:6" ht="12.75">
      <c r="A25" s="235">
        <v>20</v>
      </c>
      <c r="B25" s="158" t="s">
        <v>5</v>
      </c>
      <c r="C25" s="584">
        <v>141818</v>
      </c>
      <c r="D25" s="584">
        <v>314839</v>
      </c>
      <c r="E25" s="584"/>
      <c r="F25" s="223"/>
    </row>
    <row r="26" spans="1:6" ht="12.75">
      <c r="A26" s="235">
        <v>21</v>
      </c>
      <c r="B26" s="158" t="s">
        <v>342</v>
      </c>
      <c r="C26" s="58"/>
      <c r="D26" s="58"/>
      <c r="E26" s="58"/>
      <c r="F26" s="223"/>
    </row>
    <row r="27" spans="1:6" ht="13.5" thickBot="1">
      <c r="A27" s="235">
        <v>22</v>
      </c>
      <c r="B27" s="158" t="s">
        <v>343</v>
      </c>
      <c r="C27" s="58"/>
      <c r="D27" s="58"/>
      <c r="E27" s="58">
        <v>589</v>
      </c>
      <c r="F27" s="223"/>
    </row>
    <row r="28" spans="1:6" ht="13.5" thickBot="1">
      <c r="A28" s="243">
        <v>23</v>
      </c>
      <c r="B28" s="244" t="s">
        <v>344</v>
      </c>
      <c r="C28" s="245">
        <f>C4+C5+C6+C7+C8+C9+C10+C11+C17+C25</f>
        <v>1827919</v>
      </c>
      <c r="D28" s="245">
        <f>D4+D5+D6+D7+D8+D9+D10+D11+D15+D17+D25</f>
        <v>1858695</v>
      </c>
      <c r="E28" s="245">
        <f>E4+E5+E6+E7+E8+E9+E10+E11+E15+E17+E25+E27</f>
        <v>1199929</v>
      </c>
      <c r="F28" s="246">
        <f>E28/D28</f>
        <v>0.6455760627752267</v>
      </c>
    </row>
    <row r="29" spans="1:6" ht="12.75">
      <c r="A29" s="215"/>
      <c r="B29" s="215"/>
      <c r="C29" s="215"/>
      <c r="D29" s="215"/>
      <c r="E29" s="215"/>
      <c r="F29" s="215"/>
    </row>
    <row r="30" spans="1:6" ht="13.5" thickBot="1">
      <c r="A30" s="216" t="s">
        <v>444</v>
      </c>
      <c r="B30" s="216" t="s">
        <v>431</v>
      </c>
      <c r="C30" s="169" t="s">
        <v>114</v>
      </c>
      <c r="D30" s="169" t="s">
        <v>115</v>
      </c>
      <c r="E30" s="217" t="s">
        <v>144</v>
      </c>
      <c r="F30" s="216" t="s">
        <v>282</v>
      </c>
    </row>
    <row r="31" spans="1:6" ht="13.5" thickBot="1">
      <c r="A31" s="218"/>
      <c r="B31" s="218" t="s">
        <v>345</v>
      </c>
      <c r="C31" s="886" t="s">
        <v>435</v>
      </c>
      <c r="D31" s="888"/>
      <c r="E31" s="219"/>
      <c r="F31" s="151" t="s">
        <v>285</v>
      </c>
    </row>
    <row r="32" spans="1:6" ht="12.75">
      <c r="A32" s="235">
        <v>24</v>
      </c>
      <c r="B32" s="158" t="s">
        <v>346</v>
      </c>
      <c r="C32" s="58">
        <v>596944</v>
      </c>
      <c r="D32" s="58">
        <v>490149</v>
      </c>
      <c r="E32" s="166">
        <v>209002</v>
      </c>
      <c r="F32" s="223">
        <f aca="true" t="shared" si="1" ref="F32:F40">E32/D32</f>
        <v>0.42640503193926743</v>
      </c>
    </row>
    <row r="33" spans="1:6" ht="12.75">
      <c r="A33" s="235">
        <v>25</v>
      </c>
      <c r="B33" s="158" t="s">
        <v>347</v>
      </c>
      <c r="C33" s="58">
        <f>301690+10217</f>
        <v>311907</v>
      </c>
      <c r="D33" s="58">
        <f>385433+12697</f>
        <v>398130</v>
      </c>
      <c r="E33" s="166">
        <f>385372+12889</f>
        <v>398261</v>
      </c>
      <c r="F33" s="223">
        <f t="shared" si="1"/>
        <v>1.0003290382538368</v>
      </c>
    </row>
    <row r="34" spans="1:6" ht="12.75">
      <c r="A34" s="235">
        <v>26</v>
      </c>
      <c r="B34" s="158" t="s">
        <v>348</v>
      </c>
      <c r="C34" s="107">
        <v>24373</v>
      </c>
      <c r="D34" s="107">
        <v>24673</v>
      </c>
      <c r="E34" s="106">
        <v>24616</v>
      </c>
      <c r="F34" s="223"/>
    </row>
    <row r="35" spans="1:6" ht="12.75">
      <c r="A35" s="235">
        <v>27</v>
      </c>
      <c r="B35" s="158" t="s">
        <v>349</v>
      </c>
      <c r="C35" s="107"/>
      <c r="D35" s="107"/>
      <c r="E35" s="106"/>
      <c r="F35" s="223"/>
    </row>
    <row r="36" spans="1:7" ht="12.75">
      <c r="A36" s="235">
        <v>28</v>
      </c>
      <c r="B36" s="158" t="s">
        <v>350</v>
      </c>
      <c r="C36" s="107"/>
      <c r="D36" s="107"/>
      <c r="E36" s="106"/>
      <c r="F36" s="223"/>
      <c r="G36" s="247"/>
    </row>
    <row r="37" spans="1:6" ht="12.75">
      <c r="A37" s="235">
        <v>29</v>
      </c>
      <c r="B37" s="158" t="s">
        <v>351</v>
      </c>
      <c r="C37" s="107"/>
      <c r="D37" s="107"/>
      <c r="E37" s="106"/>
      <c r="F37" s="223"/>
    </row>
    <row r="38" spans="1:7" ht="12.75">
      <c r="A38" s="248">
        <v>30</v>
      </c>
      <c r="B38" s="159" t="s">
        <v>352</v>
      </c>
      <c r="C38" s="250">
        <v>628260</v>
      </c>
      <c r="D38" s="250">
        <v>559247</v>
      </c>
      <c r="E38" s="250">
        <v>195684</v>
      </c>
      <c r="F38" s="223">
        <f t="shared" si="1"/>
        <v>0.3499062131759312</v>
      </c>
      <c r="G38" s="63"/>
    </row>
    <row r="39" spans="1:7" s="153" customFormat="1" ht="12.75">
      <c r="A39" s="249">
        <v>31</v>
      </c>
      <c r="B39" s="159" t="s">
        <v>353</v>
      </c>
      <c r="C39" s="250">
        <v>15407</v>
      </c>
      <c r="D39" s="250">
        <v>15407</v>
      </c>
      <c r="E39" s="167">
        <v>13076</v>
      </c>
      <c r="F39" s="152">
        <f t="shared" si="1"/>
        <v>0.8487051340299864</v>
      </c>
      <c r="G39" s="63"/>
    </row>
    <row r="40" spans="1:6" ht="12.75">
      <c r="A40" s="251">
        <v>32</v>
      </c>
      <c r="B40" s="224" t="s">
        <v>354</v>
      </c>
      <c r="C40" s="107">
        <v>241028</v>
      </c>
      <c r="D40" s="107">
        <v>371089</v>
      </c>
      <c r="E40" s="107">
        <v>371089</v>
      </c>
      <c r="F40" s="223">
        <f t="shared" si="1"/>
        <v>1</v>
      </c>
    </row>
    <row r="41" spans="1:6" ht="12.75">
      <c r="A41" s="251">
        <v>33</v>
      </c>
      <c r="B41" s="224" t="s">
        <v>355</v>
      </c>
      <c r="C41" s="107"/>
      <c r="D41" s="107"/>
      <c r="E41" s="107"/>
      <c r="F41" s="152"/>
    </row>
    <row r="42" spans="1:6" ht="12.75">
      <c r="A42" s="251">
        <v>34</v>
      </c>
      <c r="B42" s="224" t="s">
        <v>356</v>
      </c>
      <c r="C42" s="225"/>
      <c r="D42" s="225"/>
      <c r="E42" s="225"/>
      <c r="F42" s="226"/>
    </row>
    <row r="43" spans="1:6" ht="13.5" thickBot="1">
      <c r="A43" s="228">
        <v>35</v>
      </c>
      <c r="B43" s="229" t="s">
        <v>357</v>
      </c>
      <c r="C43" s="230"/>
      <c r="D43" s="230"/>
      <c r="E43" s="230">
        <v>0</v>
      </c>
      <c r="F43" s="231"/>
    </row>
    <row r="44" spans="1:6" s="242" customFormat="1" ht="13.5" thickTop="1">
      <c r="A44" s="252">
        <v>36</v>
      </c>
      <c r="B44" s="233" t="s">
        <v>358</v>
      </c>
      <c r="C44" s="108">
        <f>C32+C33+C34+C35++C39+C40+C42+C36+C38+C43</f>
        <v>1817919</v>
      </c>
      <c r="D44" s="108">
        <f>D32+D33+D34+D35++D39+D40+D42+D36+D38+D43</f>
        <v>1858695</v>
      </c>
      <c r="E44" s="108">
        <f>E32+E33+E34+E35++E39+E40+E42+E36+E38+E43</f>
        <v>1211728</v>
      </c>
      <c r="F44" s="234">
        <f>E44/D44</f>
        <v>0.6519240650025959</v>
      </c>
    </row>
    <row r="45" spans="1:6" ht="12.75">
      <c r="A45" s="235">
        <v>37</v>
      </c>
      <c r="B45" s="158" t="s">
        <v>359</v>
      </c>
      <c r="C45" s="253"/>
      <c r="D45" s="225"/>
      <c r="E45" s="225"/>
      <c r="F45" s="223">
        <v>0</v>
      </c>
    </row>
    <row r="46" spans="1:6" ht="12.75">
      <c r="A46" s="236">
        <v>38</v>
      </c>
      <c r="B46" s="158" t="s">
        <v>360</v>
      </c>
      <c r="C46" s="225">
        <v>10000</v>
      </c>
      <c r="D46" s="225"/>
      <c r="E46" s="225"/>
      <c r="F46" s="223">
        <v>0</v>
      </c>
    </row>
    <row r="47" spans="1:6" ht="12.75">
      <c r="A47" s="236">
        <v>39</v>
      </c>
      <c r="B47" s="224" t="s">
        <v>361</v>
      </c>
      <c r="C47" s="225"/>
      <c r="D47" s="225"/>
      <c r="E47" s="225"/>
      <c r="F47" s="223"/>
    </row>
    <row r="48" spans="1:6" ht="13.5" thickBot="1">
      <c r="A48" s="228">
        <v>40</v>
      </c>
      <c r="B48" s="229" t="s">
        <v>362</v>
      </c>
      <c r="C48" s="230"/>
      <c r="D48" s="230"/>
      <c r="E48" s="230"/>
      <c r="F48" s="254"/>
    </row>
    <row r="49" spans="1:6" s="242" customFormat="1" ht="13.5" thickTop="1">
      <c r="A49" s="255">
        <v>41</v>
      </c>
      <c r="B49" s="233" t="s">
        <v>363</v>
      </c>
      <c r="C49" s="108">
        <f>SUM(C45:C48)</f>
        <v>10000</v>
      </c>
      <c r="D49" s="108">
        <f>SUM(D45:D48)</f>
        <v>0</v>
      </c>
      <c r="E49" s="108">
        <f>SUM(E45:E48)</f>
        <v>0</v>
      </c>
      <c r="F49" s="234"/>
    </row>
    <row r="50" spans="1:6" s="242" customFormat="1" ht="12.75">
      <c r="A50" s="255"/>
      <c r="B50" s="233"/>
      <c r="C50" s="108"/>
      <c r="D50" s="108"/>
      <c r="E50" s="108"/>
      <c r="F50" s="234"/>
    </row>
    <row r="51" spans="1:6" s="104" customFormat="1" ht="12.75">
      <c r="A51" s="256">
        <v>42</v>
      </c>
      <c r="B51" s="257" t="s">
        <v>364</v>
      </c>
      <c r="C51" s="258">
        <f>C44+C49</f>
        <v>1827919</v>
      </c>
      <c r="D51" s="258">
        <f>D44+D49</f>
        <v>1858695</v>
      </c>
      <c r="E51" s="258">
        <f>E44+E49</f>
        <v>1211728</v>
      </c>
      <c r="F51" s="259">
        <f>E51/D51</f>
        <v>0.6519240650025959</v>
      </c>
    </row>
    <row r="52" spans="1:6" s="104" customFormat="1" ht="12.75">
      <c r="A52" s="256"/>
      <c r="B52" s="257"/>
      <c r="C52" s="258"/>
      <c r="D52" s="258"/>
      <c r="E52" s="258"/>
      <c r="F52" s="259"/>
    </row>
    <row r="53" spans="1:6" ht="12.75">
      <c r="A53" s="235">
        <v>43</v>
      </c>
      <c r="B53" s="158" t="s">
        <v>365</v>
      </c>
      <c r="C53" s="58"/>
      <c r="D53" s="58"/>
      <c r="E53" s="58"/>
      <c r="F53" s="223"/>
    </row>
    <row r="54" spans="1:6" ht="12.75">
      <c r="A54" s="235">
        <v>44</v>
      </c>
      <c r="B54" s="158" t="s">
        <v>366</v>
      </c>
      <c r="C54" s="58"/>
      <c r="D54" s="58"/>
      <c r="E54" s="58"/>
      <c r="F54" s="223"/>
    </row>
    <row r="55" spans="1:6" ht="13.5" thickBot="1">
      <c r="A55" s="235">
        <v>45</v>
      </c>
      <c r="B55" s="158" t="s">
        <v>367</v>
      </c>
      <c r="C55" s="58"/>
      <c r="D55" s="58"/>
      <c r="E55" s="58"/>
      <c r="F55" s="223"/>
    </row>
    <row r="56" spans="1:6" ht="15" customHeight="1" thickBot="1">
      <c r="A56" s="243">
        <v>46</v>
      </c>
      <c r="B56" s="244" t="s">
        <v>368</v>
      </c>
      <c r="C56" s="245">
        <f>C51+C53+C55</f>
        <v>1827919</v>
      </c>
      <c r="D56" s="245">
        <f>D51+D53+D55</f>
        <v>1858695</v>
      </c>
      <c r="E56" s="245">
        <f>E51+E53+E55</f>
        <v>1211728</v>
      </c>
      <c r="F56" s="246">
        <f>E56/D56</f>
        <v>0.6519240650025959</v>
      </c>
    </row>
    <row r="58" spans="1:7" ht="12.75" hidden="1">
      <c r="A58" s="260">
        <v>47</v>
      </c>
      <c r="B58" s="261" t="s">
        <v>369</v>
      </c>
      <c r="C58" s="262">
        <f>C44+C53-C16-C25</f>
        <v>1676101</v>
      </c>
      <c r="D58" s="262">
        <f>D44+D53-D16-D25</f>
        <v>1543856</v>
      </c>
      <c r="E58" s="262">
        <f>E44+E53-E16-E25</f>
        <v>1211728</v>
      </c>
      <c r="F58" s="263"/>
      <c r="G58" s="157"/>
    </row>
    <row r="59" spans="1:7" ht="12.75" hidden="1">
      <c r="A59" s="264">
        <v>48</v>
      </c>
      <c r="B59" s="159" t="s">
        <v>370</v>
      </c>
      <c r="C59" s="58"/>
      <c r="D59" s="58"/>
      <c r="E59" s="58"/>
      <c r="F59" s="265"/>
      <c r="G59" s="157"/>
    </row>
    <row r="60" spans="1:6" ht="12.75" hidden="1">
      <c r="A60" s="266">
        <v>49</v>
      </c>
      <c r="B60" s="267" t="s">
        <v>371</v>
      </c>
      <c r="C60" s="225"/>
      <c r="D60" s="225"/>
      <c r="E60" s="225"/>
      <c r="F60" s="268"/>
    </row>
    <row r="61" spans="1:6" ht="13.5" hidden="1" thickBot="1">
      <c r="A61" s="269">
        <v>32</v>
      </c>
      <c r="B61" s="270" t="s">
        <v>372</v>
      </c>
      <c r="C61" s="271"/>
      <c r="D61" s="271"/>
      <c r="E61" s="271"/>
      <c r="F61" s="272"/>
    </row>
    <row r="62" ht="12.75" hidden="1"/>
    <row r="63" ht="12.75">
      <c r="C63" s="157"/>
    </row>
    <row r="65" ht="12.75">
      <c r="E65" s="157"/>
    </row>
    <row r="67" ht="12.75">
      <c r="C67" s="6"/>
    </row>
  </sheetData>
  <sheetProtection/>
  <mergeCells count="2">
    <mergeCell ref="C3:D3"/>
    <mergeCell ref="C31:D31"/>
  </mergeCells>
  <printOptions/>
  <pageMargins left="0.5118110236220472" right="0.4724409448818898" top="1.3779527559055118" bottom="0.2755905511811024" header="0.5118110236220472" footer="0.15748031496062992"/>
  <pageSetup fitToHeight="1" fitToWidth="1" horizontalDpi="600" verticalDpi="600" orientation="portrait" paperSize="9" scale="72" r:id="rId1"/>
  <headerFooter alignWithMargins="0">
    <oddHeader>&amp;L
7.sz.melléklet&amp;C&amp;"Arial,Félkövér"Nagykovácsi Nagyközség Önkormányzat 
2013. évi egyszerűsített pénzforgalmi jelentés&amp;R
adatok ezer forintban
</oddHeader>
    <oddFooter>&amp;L&amp;D&amp;R&amp;F</oddFooter>
  </headerFooter>
  <rowBreaks count="1" manualBreakCount="1">
    <brk id="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03"/>
  <sheetViews>
    <sheetView zoomScalePageLayoutView="0" workbookViewId="0" topLeftCell="A28">
      <selection activeCell="F102" sqref="F102"/>
    </sheetView>
  </sheetViews>
  <sheetFormatPr defaultColWidth="9.140625" defaultRowHeight="12.75"/>
  <cols>
    <col min="1" max="1" width="84.57421875" style="0" customWidth="1"/>
    <col min="2" max="2" width="12.140625" style="57" bestFit="1" customWidth="1"/>
    <col min="3" max="3" width="12.7109375" style="57" hidden="1" customWidth="1"/>
    <col min="4" max="4" width="12.140625" style="57" bestFit="1" customWidth="1"/>
  </cols>
  <sheetData>
    <row r="1" spans="1:4" ht="12.75">
      <c r="A1" s="739" t="s">
        <v>216</v>
      </c>
      <c r="B1" s="740">
        <v>2012</v>
      </c>
      <c r="D1" s="740">
        <v>2013</v>
      </c>
    </row>
    <row r="2" spans="1:4" ht="15.75">
      <c r="A2" s="739" t="s">
        <v>217</v>
      </c>
      <c r="B2" s="741">
        <f>+B3+B6+B48+B57</f>
        <v>14731204</v>
      </c>
      <c r="C2" s="742"/>
      <c r="D2" s="741">
        <f>+D3+D6+D48+D57</f>
        <v>14863606</v>
      </c>
    </row>
    <row r="3" spans="1:4" ht="15">
      <c r="A3" s="739" t="s">
        <v>218</v>
      </c>
      <c r="B3" s="743">
        <f>SUM(B4:B5)</f>
        <v>2577</v>
      </c>
      <c r="C3" s="744"/>
      <c r="D3" s="743">
        <f>SUM(D4:D5)</f>
        <v>1508</v>
      </c>
    </row>
    <row r="4" spans="1:4" ht="12.75">
      <c r="A4" s="739" t="s">
        <v>219</v>
      </c>
      <c r="B4" s="745"/>
      <c r="D4" s="745"/>
    </row>
    <row r="5" spans="1:4" ht="12.75">
      <c r="A5" s="739" t="s">
        <v>220</v>
      </c>
      <c r="B5" s="746">
        <v>2577</v>
      </c>
      <c r="D5" s="746">
        <v>1508</v>
      </c>
    </row>
    <row r="6" spans="1:4" ht="15">
      <c r="A6" s="739" t="s">
        <v>221</v>
      </c>
      <c r="B6" s="743">
        <f>+B7+B27+B31+B34+B35+B39+B43+B47</f>
        <v>12575419</v>
      </c>
      <c r="D6" s="743">
        <f>+D7+D27+D31+D34+D35+D39+D43+D47</f>
        <v>12470400</v>
      </c>
    </row>
    <row r="7" spans="1:4" ht="12.75">
      <c r="A7" s="739" t="s">
        <v>222</v>
      </c>
      <c r="B7" s="747">
        <f>+B8+B15+B22</f>
        <v>12294076</v>
      </c>
      <c r="D7" s="747">
        <f>+D8+D15+D22</f>
        <v>12119638</v>
      </c>
    </row>
    <row r="8" spans="1:4" ht="12.75">
      <c r="A8" s="739" t="s">
        <v>223</v>
      </c>
      <c r="B8" s="748">
        <f>SUM(B9:B14)</f>
        <v>9393642</v>
      </c>
      <c r="D8" s="748">
        <f>SUM(D9:D14)</f>
        <v>9382361</v>
      </c>
    </row>
    <row r="9" spans="1:4" ht="12.75">
      <c r="A9" s="739" t="s">
        <v>224</v>
      </c>
      <c r="B9" s="745">
        <v>9198742</v>
      </c>
      <c r="C9" s="57">
        <f>7937807290+1042548+891437666</f>
        <v>8830287504</v>
      </c>
      <c r="D9" s="745">
        <f>9187607-1</f>
        <v>9187606</v>
      </c>
    </row>
    <row r="10" spans="1:4" ht="12.75">
      <c r="A10" s="739" t="s">
        <v>225</v>
      </c>
      <c r="B10" s="746"/>
      <c r="D10" s="746"/>
    </row>
    <row r="11" spans="1:4" ht="12.75">
      <c r="A11" s="739" t="s">
        <v>226</v>
      </c>
      <c r="B11" s="745">
        <v>193632</v>
      </c>
      <c r="C11" s="57">
        <f>332152+193365134</f>
        <v>193697286</v>
      </c>
      <c r="D11" s="745">
        <v>193611</v>
      </c>
    </row>
    <row r="12" spans="1:4" ht="12.75">
      <c r="A12" s="739" t="s">
        <v>227</v>
      </c>
      <c r="B12" s="746"/>
      <c r="D12" s="746"/>
    </row>
    <row r="13" spans="1:4" ht="12.75">
      <c r="A13" s="749" t="s">
        <v>228</v>
      </c>
      <c r="B13" s="893">
        <v>1268</v>
      </c>
      <c r="C13" s="57">
        <v>2261328</v>
      </c>
      <c r="D13" s="893">
        <v>1144</v>
      </c>
    </row>
    <row r="14" spans="1:4" ht="12.75">
      <c r="A14" s="750" t="s">
        <v>229</v>
      </c>
      <c r="B14" s="893"/>
      <c r="D14" s="893"/>
    </row>
    <row r="15" spans="1:4" ht="12.75">
      <c r="A15" s="739" t="s">
        <v>230</v>
      </c>
      <c r="B15" s="748">
        <f>SUM(B16:B21)</f>
        <v>1977585</v>
      </c>
      <c r="D15" s="748">
        <f>SUM(D16:D21)</f>
        <v>1872247</v>
      </c>
    </row>
    <row r="16" spans="1:4" ht="12.75">
      <c r="A16" s="739" t="s">
        <v>231</v>
      </c>
      <c r="B16" s="746"/>
      <c r="D16" s="746"/>
    </row>
    <row r="17" spans="1:4" ht="12.75">
      <c r="A17" s="739" t="s">
        <v>232</v>
      </c>
      <c r="B17" s="746"/>
      <c r="D17" s="746"/>
    </row>
    <row r="18" spans="1:4" ht="12.75">
      <c r="A18" s="739" t="s">
        <v>233</v>
      </c>
      <c r="B18" s="745">
        <v>1264630</v>
      </c>
      <c r="C18" s="57">
        <f>309242048+29481+361135737</f>
        <v>670407266</v>
      </c>
      <c r="D18" s="745">
        <v>1314207</v>
      </c>
    </row>
    <row r="19" spans="1:4" ht="12.75">
      <c r="A19" s="739" t="s">
        <v>234</v>
      </c>
      <c r="B19" s="746"/>
      <c r="D19" s="746"/>
    </row>
    <row r="20" spans="1:4" ht="12.75">
      <c r="A20" s="739" t="s">
        <v>235</v>
      </c>
      <c r="B20" s="745">
        <v>15600</v>
      </c>
      <c r="C20" s="57">
        <v>16770004</v>
      </c>
      <c r="D20" s="745">
        <v>0</v>
      </c>
    </row>
    <row r="21" spans="1:4" ht="27.75" customHeight="1">
      <c r="A21" s="739" t="s">
        <v>238</v>
      </c>
      <c r="B21" s="745">
        <v>697355</v>
      </c>
      <c r="C21" s="57">
        <f>10364691+80611531+629072172+407169</f>
        <v>720455563</v>
      </c>
      <c r="D21" s="745">
        <v>558040</v>
      </c>
    </row>
    <row r="22" spans="1:4" ht="12.75">
      <c r="A22" s="739" t="s">
        <v>239</v>
      </c>
      <c r="B22" s="748">
        <f>SUM(B23:B26)</f>
        <v>922849</v>
      </c>
      <c r="D22" s="748">
        <f>SUM(D23:D26)</f>
        <v>865030</v>
      </c>
    </row>
    <row r="23" spans="1:4" ht="12.75">
      <c r="A23" s="739" t="s">
        <v>240</v>
      </c>
      <c r="B23" s="745">
        <v>994</v>
      </c>
      <c r="C23" s="57">
        <v>2230443</v>
      </c>
      <c r="D23" s="745">
        <v>72</v>
      </c>
    </row>
    <row r="24" spans="1:4" ht="12.75">
      <c r="A24" s="739" t="s">
        <v>241</v>
      </c>
      <c r="B24" s="746"/>
      <c r="D24" s="746"/>
    </row>
    <row r="25" spans="1:4" ht="12.75">
      <c r="A25" s="739" t="s">
        <v>242</v>
      </c>
      <c r="B25" s="745">
        <v>896123</v>
      </c>
      <c r="C25" s="57">
        <v>1005550553</v>
      </c>
      <c r="D25" s="745">
        <v>840105</v>
      </c>
    </row>
    <row r="26" spans="1:4" ht="25.5">
      <c r="A26" s="739" t="s">
        <v>243</v>
      </c>
      <c r="B26" s="745">
        <v>25732</v>
      </c>
      <c r="C26" s="57">
        <v>9985603</v>
      </c>
      <c r="D26" s="745">
        <v>24853</v>
      </c>
    </row>
    <row r="27" spans="1:4" ht="12.75">
      <c r="A27" s="739" t="s">
        <v>244</v>
      </c>
      <c r="B27" s="747">
        <f>SUM(B28:B30)</f>
        <v>1481</v>
      </c>
      <c r="C27" s="751">
        <f>SUM(C28:C30)</f>
        <v>0</v>
      </c>
      <c r="D27" s="747">
        <f>SUM(D28:D30)</f>
        <v>25721</v>
      </c>
    </row>
    <row r="28" spans="1:4" ht="12.75">
      <c r="A28" s="739" t="s">
        <v>245</v>
      </c>
      <c r="B28" s="746"/>
      <c r="D28" s="746"/>
    </row>
    <row r="29" spans="1:4" ht="12.75">
      <c r="A29" s="739" t="s">
        <v>246</v>
      </c>
      <c r="B29" s="746"/>
      <c r="D29" s="746"/>
    </row>
    <row r="30" spans="1:4" ht="12.75">
      <c r="A30" s="739" t="s">
        <v>247</v>
      </c>
      <c r="B30" s="745">
        <v>1481</v>
      </c>
      <c r="D30" s="745">
        <f>28616-2895</f>
        <v>25721</v>
      </c>
    </row>
    <row r="31" spans="1:4" ht="12.75">
      <c r="A31" s="739" t="s">
        <v>248</v>
      </c>
      <c r="B31" s="752">
        <f>SUM(B32:B33)</f>
        <v>1278</v>
      </c>
      <c r="D31" s="752">
        <f>SUM(D32:D33)</f>
        <v>2895</v>
      </c>
    </row>
    <row r="32" spans="1:4" ht="12.75">
      <c r="A32" s="739" t="s">
        <v>250</v>
      </c>
      <c r="B32" s="746"/>
      <c r="D32" s="746"/>
    </row>
    <row r="33" spans="1:4" ht="12.75">
      <c r="A33" s="739" t="s">
        <v>251</v>
      </c>
      <c r="B33" s="746">
        <v>1278</v>
      </c>
      <c r="D33" s="746">
        <v>2895</v>
      </c>
    </row>
    <row r="34" spans="1:4" ht="12.75">
      <c r="A34" s="739" t="s">
        <v>252</v>
      </c>
      <c r="B34" s="746"/>
      <c r="D34" s="746"/>
    </row>
    <row r="35" spans="1:4" ht="12.75">
      <c r="A35" s="739" t="s">
        <v>253</v>
      </c>
      <c r="B35" s="747">
        <f>SUM(B36:B38)</f>
        <v>278584</v>
      </c>
      <c r="D35" s="747">
        <f>SUM(D36:D38)</f>
        <v>322146</v>
      </c>
    </row>
    <row r="36" spans="1:4" ht="12.75">
      <c r="A36" s="739" t="s">
        <v>254</v>
      </c>
      <c r="B36" s="746"/>
      <c r="D36" s="746"/>
    </row>
    <row r="37" spans="1:4" ht="12.75">
      <c r="A37" s="739" t="s">
        <v>255</v>
      </c>
      <c r="B37" s="745">
        <v>278584</v>
      </c>
      <c r="D37" s="745">
        <v>322146</v>
      </c>
    </row>
    <row r="38" spans="1:4" ht="12.75">
      <c r="A38" s="739" t="s">
        <v>256</v>
      </c>
      <c r="B38" s="746"/>
      <c r="D38" s="746"/>
    </row>
    <row r="39" spans="1:4" ht="12.75">
      <c r="A39" s="739" t="s">
        <v>257</v>
      </c>
      <c r="B39" s="753">
        <f>SUM(B40:B42)</f>
        <v>0</v>
      </c>
      <c r="D39" s="753">
        <f>SUM(D40:D42)</f>
        <v>0</v>
      </c>
    </row>
    <row r="40" spans="1:4" ht="12.75">
      <c r="A40" s="739" t="s">
        <v>258</v>
      </c>
      <c r="B40" s="745"/>
      <c r="D40" s="745"/>
    </row>
    <row r="41" spans="1:4" ht="12.75">
      <c r="A41" s="739" t="s">
        <v>259</v>
      </c>
      <c r="B41" s="754"/>
      <c r="D41" s="754"/>
    </row>
    <row r="42" spans="1:4" ht="12.75">
      <c r="A42" s="739" t="s">
        <v>260</v>
      </c>
      <c r="B42" s="755"/>
      <c r="D42" s="755"/>
    </row>
    <row r="43" spans="1:4" ht="12.75">
      <c r="A43" s="739" t="s">
        <v>261</v>
      </c>
      <c r="B43" s="755"/>
      <c r="D43" s="755"/>
    </row>
    <row r="44" spans="1:4" ht="12.75">
      <c r="A44" s="739" t="s">
        <v>262</v>
      </c>
      <c r="B44" s="755"/>
      <c r="D44" s="755"/>
    </row>
    <row r="45" spans="1:4" ht="12.75">
      <c r="A45" s="739" t="s">
        <v>263</v>
      </c>
      <c r="B45" s="755"/>
      <c r="D45" s="755"/>
    </row>
    <row r="46" spans="1:4" ht="12.75">
      <c r="A46" s="739" t="s">
        <v>264</v>
      </c>
      <c r="B46" s="755"/>
      <c r="D46" s="755"/>
    </row>
    <row r="47" spans="1:4" ht="12.75">
      <c r="A47" s="739" t="s">
        <v>265</v>
      </c>
      <c r="B47" s="755"/>
      <c r="D47" s="755"/>
    </row>
    <row r="48" spans="1:4" ht="15">
      <c r="A48" s="739" t="s">
        <v>266</v>
      </c>
      <c r="B48" s="743">
        <f>SUM(B49:B56)</f>
        <v>11184</v>
      </c>
      <c r="C48" s="743"/>
      <c r="D48" s="743">
        <f>SUM(D49:D56)</f>
        <v>11271</v>
      </c>
    </row>
    <row r="49" spans="1:4" ht="12.75">
      <c r="A49" s="739" t="s">
        <v>267</v>
      </c>
      <c r="B49" s="745">
        <v>3530</v>
      </c>
      <c r="D49" s="755">
        <v>9571</v>
      </c>
    </row>
    <row r="50" spans="1:4" ht="12.75">
      <c r="A50" s="739" t="s">
        <v>268</v>
      </c>
      <c r="B50" s="745"/>
      <c r="D50" s="755"/>
    </row>
    <row r="51" spans="1:4" ht="12.75">
      <c r="A51" s="739" t="s">
        <v>269</v>
      </c>
      <c r="B51" s="745"/>
      <c r="D51" s="755"/>
    </row>
    <row r="52" spans="1:4" ht="12.75">
      <c r="A52" s="739" t="s">
        <v>270</v>
      </c>
      <c r="B52" s="745"/>
      <c r="D52" s="755"/>
    </row>
    <row r="53" spans="1:4" ht="12.75">
      <c r="A53" s="739" t="s">
        <v>271</v>
      </c>
      <c r="B53" s="745">
        <v>7500</v>
      </c>
      <c r="D53" s="755">
        <v>1700</v>
      </c>
    </row>
    <row r="54" spans="1:4" ht="12.75">
      <c r="A54" s="739" t="s">
        <v>272</v>
      </c>
      <c r="B54" s="745"/>
      <c r="D54" s="755"/>
    </row>
    <row r="55" spans="1:4" ht="12.75">
      <c r="A55" s="739" t="s">
        <v>273</v>
      </c>
      <c r="B55" s="745">
        <v>154</v>
      </c>
      <c r="D55" s="755">
        <v>0</v>
      </c>
    </row>
    <row r="56" spans="1:4" ht="12.75">
      <c r="A56" s="739" t="s">
        <v>274</v>
      </c>
      <c r="B56" s="745"/>
      <c r="D56" s="745"/>
    </row>
    <row r="57" spans="1:4" ht="15">
      <c r="A57" s="739" t="s">
        <v>275</v>
      </c>
      <c r="B57" s="743">
        <f>SUM(B58:B61)</f>
        <v>2142024</v>
      </c>
      <c r="C57" s="743"/>
      <c r="D57" s="743">
        <f>SUM(D58:D61)</f>
        <v>2380427</v>
      </c>
    </row>
    <row r="58" spans="1:4" ht="12.75" customHeight="1">
      <c r="A58" s="749" t="s">
        <v>276</v>
      </c>
      <c r="B58" s="754"/>
      <c r="D58" s="754">
        <f>18665+125</f>
        <v>18790</v>
      </c>
    </row>
    <row r="59" spans="1:4" ht="12.75">
      <c r="A59" s="749" t="s">
        <v>277</v>
      </c>
      <c r="B59" s="894">
        <v>2142024</v>
      </c>
      <c r="D59" s="894">
        <f>2092779+55481+199632+4450+1</f>
        <v>2352343</v>
      </c>
    </row>
    <row r="60" spans="1:4" ht="12.75">
      <c r="A60" s="750" t="s">
        <v>278</v>
      </c>
      <c r="B60" s="894"/>
      <c r="D60" s="894"/>
    </row>
    <row r="61" spans="1:4" ht="14.25" customHeight="1">
      <c r="A61" s="739" t="s">
        <v>279</v>
      </c>
      <c r="B61" s="754"/>
      <c r="D61" s="754">
        <f>895+8398+1</f>
        <v>9294</v>
      </c>
    </row>
    <row r="62" spans="1:4" s="56" customFormat="1" ht="14.25" customHeight="1">
      <c r="A62" s="756"/>
      <c r="B62" s="757"/>
      <c r="C62" s="758"/>
      <c r="D62" s="757"/>
    </row>
    <row r="63" spans="1:4" s="56" customFormat="1" ht="14.25" customHeight="1">
      <c r="A63" s="759"/>
      <c r="B63" s="760"/>
      <c r="C63" s="758"/>
      <c r="D63" s="760"/>
    </row>
    <row r="64" spans="1:4" s="56" customFormat="1" ht="14.25" customHeight="1">
      <c r="A64" s="759"/>
      <c r="B64" s="760"/>
      <c r="C64" s="758"/>
      <c r="D64" s="760"/>
    </row>
    <row r="65" spans="1:4" s="56" customFormat="1" ht="14.25" customHeight="1">
      <c r="A65" s="759"/>
      <c r="B65" s="760"/>
      <c r="C65" s="758"/>
      <c r="D65" s="760"/>
    </row>
    <row r="66" spans="1:4" s="56" customFormat="1" ht="14.25" customHeight="1">
      <c r="A66" s="759"/>
      <c r="B66" s="760"/>
      <c r="C66" s="758"/>
      <c r="D66" s="760"/>
    </row>
    <row r="67" spans="1:4" s="56" customFormat="1" ht="14.25" customHeight="1">
      <c r="A67" s="759"/>
      <c r="B67" s="760"/>
      <c r="C67" s="758"/>
      <c r="D67" s="760"/>
    </row>
    <row r="68" spans="1:4" s="56" customFormat="1" ht="14.25" customHeight="1">
      <c r="A68" s="761"/>
      <c r="B68" s="762"/>
      <c r="C68" s="758"/>
      <c r="D68" s="762"/>
    </row>
    <row r="69" spans="1:4" ht="14.25" customHeight="1">
      <c r="A69" s="739"/>
      <c r="B69" s="763">
        <v>2012</v>
      </c>
      <c r="D69" s="763">
        <v>2013</v>
      </c>
    </row>
    <row r="70" spans="1:4" ht="15.75">
      <c r="A70" s="739" t="s">
        <v>392</v>
      </c>
      <c r="B70" s="764">
        <f>SUM(B71:B77)</f>
        <v>390292</v>
      </c>
      <c r="C70" s="742"/>
      <c r="D70" s="764">
        <f>SUM(D71:D77)</f>
        <v>0</v>
      </c>
    </row>
    <row r="71" spans="1:4" ht="12.75">
      <c r="A71" s="739" t="s">
        <v>393</v>
      </c>
      <c r="B71" s="745"/>
      <c r="D71" s="745"/>
    </row>
    <row r="72" spans="1:4" ht="12.75">
      <c r="A72" s="739" t="s">
        <v>394</v>
      </c>
      <c r="B72" s="745">
        <v>85852</v>
      </c>
      <c r="D72" s="745"/>
    </row>
    <row r="73" spans="1:4" ht="12.75">
      <c r="A73" s="739" t="s">
        <v>395</v>
      </c>
      <c r="B73" s="745"/>
      <c r="D73" s="745"/>
    </row>
    <row r="74" spans="1:4" ht="12.75">
      <c r="A74" s="739" t="s">
        <v>396</v>
      </c>
      <c r="B74" s="745"/>
      <c r="D74" s="745"/>
    </row>
    <row r="75" spans="1:4" ht="12.75">
      <c r="A75" s="739" t="s">
        <v>397</v>
      </c>
      <c r="B75" s="745"/>
      <c r="D75" s="745"/>
    </row>
    <row r="76" spans="1:4" ht="12.75">
      <c r="A76" s="739" t="s">
        <v>398</v>
      </c>
      <c r="B76" s="745">
        <v>292951</v>
      </c>
      <c r="D76" s="745"/>
    </row>
    <row r="77" spans="1:4" ht="12.75">
      <c r="A77" s="739" t="s">
        <v>399</v>
      </c>
      <c r="B77" s="745">
        <v>11489</v>
      </c>
      <c r="D77" s="745"/>
    </row>
    <row r="78" spans="1:4" ht="12.75">
      <c r="A78" s="739"/>
      <c r="B78" s="745"/>
      <c r="D78" s="745"/>
    </row>
    <row r="79" spans="1:4" ht="12.75">
      <c r="A79" s="739" t="s">
        <v>400</v>
      </c>
      <c r="B79" s="745"/>
      <c r="D79" s="745"/>
    </row>
    <row r="80" spans="1:4" ht="15.75">
      <c r="A80" s="739" t="s">
        <v>401</v>
      </c>
      <c r="B80" s="764">
        <f>SUM(B81:B83)</f>
        <v>429168</v>
      </c>
      <c r="C80" s="742"/>
      <c r="D80" s="764">
        <f>SUM(D81:D83)</f>
        <v>0</v>
      </c>
    </row>
    <row r="81" spans="1:4" ht="12.75">
      <c r="A81" s="739" t="s">
        <v>402</v>
      </c>
      <c r="B81" s="745">
        <f>352883+24545</f>
        <v>377428</v>
      </c>
      <c r="D81" s="745"/>
    </row>
    <row r="82" spans="1:4" ht="12.75">
      <c r="A82" s="739" t="s">
        <v>403</v>
      </c>
      <c r="B82" s="745">
        <f>731+31608</f>
        <v>32339</v>
      </c>
      <c r="D82" s="745"/>
    </row>
    <row r="83" spans="1:4" ht="12.75">
      <c r="A83" s="739" t="s">
        <v>404</v>
      </c>
      <c r="B83" s="745">
        <v>19401</v>
      </c>
      <c r="D83" s="745"/>
    </row>
    <row r="84" spans="1:4" ht="12.75">
      <c r="A84" s="739"/>
      <c r="B84" s="745"/>
      <c r="D84" s="745"/>
    </row>
    <row r="85" spans="1:4" ht="12.75">
      <c r="A85" s="739" t="s">
        <v>405</v>
      </c>
      <c r="B85" s="746"/>
      <c r="D85" s="746"/>
    </row>
    <row r="86" spans="1:4" ht="12.75">
      <c r="A86" s="739"/>
      <c r="B86" s="746"/>
      <c r="D86" s="746"/>
    </row>
    <row r="87" spans="1:4" ht="12.75">
      <c r="A87" s="739" t="s">
        <v>406</v>
      </c>
      <c r="B87" s="746"/>
      <c r="D87" s="746"/>
    </row>
    <row r="88" spans="1:4" ht="12.75">
      <c r="A88" s="765" t="s">
        <v>407</v>
      </c>
      <c r="B88" s="745"/>
      <c r="C88" s="767"/>
      <c r="D88" s="745">
        <v>30080</v>
      </c>
    </row>
    <row r="89" spans="1:4" ht="12.75">
      <c r="A89" s="765" t="s">
        <v>408</v>
      </c>
      <c r="B89" s="746"/>
      <c r="D89" s="746"/>
    </row>
    <row r="90" spans="1:4" ht="12.75">
      <c r="A90" s="765" t="s">
        <v>409</v>
      </c>
      <c r="B90" s="746"/>
      <c r="D90" s="746"/>
    </row>
    <row r="91" spans="1:4" ht="12.75">
      <c r="A91" s="766" t="s">
        <v>410</v>
      </c>
      <c r="B91" s="746"/>
      <c r="D91" s="746"/>
    </row>
    <row r="92" spans="1:4" ht="12.75">
      <c r="A92" s="739" t="s">
        <v>411</v>
      </c>
      <c r="B92" s="746"/>
      <c r="D92" s="746"/>
    </row>
    <row r="93" spans="1:4" ht="12.75">
      <c r="A93" s="739" t="s">
        <v>412</v>
      </c>
      <c r="B93" s="746"/>
      <c r="D93" s="746"/>
    </row>
    <row r="94" spans="1:4" ht="12.75">
      <c r="A94" s="739" t="s">
        <v>413</v>
      </c>
      <c r="B94" s="746"/>
      <c r="D94" s="746"/>
    </row>
    <row r="95" spans="1:4" ht="12.75">
      <c r="A95" s="739" t="s">
        <v>414</v>
      </c>
      <c r="B95" s="746"/>
      <c r="D95" s="746"/>
    </row>
    <row r="96" spans="1:4" ht="12.75">
      <c r="A96" s="739" t="s">
        <v>415</v>
      </c>
      <c r="B96" s="746"/>
      <c r="D96" s="746"/>
    </row>
    <row r="97" spans="1:4" ht="12.75">
      <c r="A97" s="739"/>
      <c r="B97" s="746"/>
      <c r="D97" s="746"/>
    </row>
    <row r="98" spans="1:4" ht="12.75">
      <c r="A98" s="739" t="s">
        <v>416</v>
      </c>
      <c r="B98" s="746"/>
      <c r="D98" s="746"/>
    </row>
    <row r="99" spans="1:4" ht="12.75">
      <c r="A99" s="765" t="s">
        <v>417</v>
      </c>
      <c r="B99" s="746"/>
      <c r="D99" s="746"/>
    </row>
    <row r="100" spans="1:4" ht="12.75">
      <c r="A100" s="765" t="s">
        <v>418</v>
      </c>
      <c r="B100" s="746"/>
      <c r="D100" s="746"/>
    </row>
    <row r="101" spans="1:4" ht="12.75">
      <c r="A101" s="765" t="s">
        <v>419</v>
      </c>
      <c r="B101" s="745"/>
      <c r="D101" s="745"/>
    </row>
    <row r="102" spans="1:4" ht="12.75">
      <c r="A102" s="765" t="s">
        <v>420</v>
      </c>
      <c r="B102" s="746"/>
      <c r="D102" s="746"/>
    </row>
    <row r="103" spans="1:4" ht="12.75">
      <c r="A103" s="765" t="s">
        <v>421</v>
      </c>
      <c r="B103" s="746"/>
      <c r="D103" s="746"/>
    </row>
  </sheetData>
  <sheetProtection/>
  <mergeCells count="4">
    <mergeCell ref="B13:B14"/>
    <mergeCell ref="B59:B60"/>
    <mergeCell ref="D13:D14"/>
    <mergeCell ref="D59:D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0" r:id="rId1"/>
  <headerFooter alignWithMargins="0">
    <oddHeader>&amp;L8.sz. melléklet&amp;C&amp;"Arial,Félkövér"&amp;12Nagykovácsi Nagyközség Önkormányzat 2013. évi vagyonkimutatása&amp;Radatok 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43"/>
  <sheetViews>
    <sheetView zoomScale="90" zoomScaleNormal="90" zoomScalePageLayoutView="0" workbookViewId="0" topLeftCell="A1">
      <selection activeCell="R51" sqref="R51"/>
    </sheetView>
  </sheetViews>
  <sheetFormatPr defaultColWidth="9.140625" defaultRowHeight="12.75"/>
  <cols>
    <col min="1" max="1" width="5.57421875" style="0" customWidth="1"/>
    <col min="2" max="2" width="35.57421875" style="0" bestFit="1" customWidth="1"/>
    <col min="3" max="3" width="15.00390625" style="0" customWidth="1"/>
    <col min="4" max="4" width="15.00390625" style="0" hidden="1" customWidth="1"/>
    <col min="5" max="5" width="19.57421875" style="0" hidden="1" customWidth="1"/>
    <col min="6" max="6" width="15.00390625" style="0" hidden="1" customWidth="1"/>
    <col min="7" max="7" width="16.8515625" style="0" hidden="1" customWidth="1"/>
    <col min="8" max="11" width="15.00390625" style="0" hidden="1" customWidth="1"/>
    <col min="12" max="12" width="14.57421875" style="0" hidden="1" customWidth="1"/>
    <col min="13" max="13" width="19.57421875" style="0" hidden="1" customWidth="1"/>
    <col min="14" max="14" width="14.57421875" style="0" hidden="1" customWidth="1"/>
    <col min="15" max="15" width="19.57421875" style="0" hidden="1" customWidth="1"/>
    <col min="16" max="16" width="14.57421875" style="0" hidden="1" customWidth="1"/>
    <col min="17" max="17" width="19.57421875" style="0" hidden="1" customWidth="1"/>
    <col min="18" max="18" width="19.57421875" style="0" bestFit="1" customWidth="1"/>
    <col min="19" max="20" width="15.00390625" style="0" customWidth="1"/>
  </cols>
  <sheetData>
    <row r="1" spans="1:20" ht="12.75">
      <c r="A1" s="304"/>
      <c r="B1" s="305"/>
      <c r="C1" s="306" t="s">
        <v>608</v>
      </c>
      <c r="D1" s="306" t="s">
        <v>153</v>
      </c>
      <c r="E1" s="306" t="s">
        <v>154</v>
      </c>
      <c r="F1" s="306" t="s">
        <v>155</v>
      </c>
      <c r="G1" s="306" t="s">
        <v>156</v>
      </c>
      <c r="H1" s="307" t="s">
        <v>198</v>
      </c>
      <c r="I1" s="307" t="s">
        <v>157</v>
      </c>
      <c r="J1" s="306" t="s">
        <v>158</v>
      </c>
      <c r="K1" s="306" t="s">
        <v>159</v>
      </c>
      <c r="L1" s="306" t="s">
        <v>160</v>
      </c>
      <c r="M1" s="306" t="s">
        <v>161</v>
      </c>
      <c r="N1" s="306" t="s">
        <v>162</v>
      </c>
      <c r="O1" s="306" t="s">
        <v>163</v>
      </c>
      <c r="P1" s="306" t="s">
        <v>164</v>
      </c>
      <c r="Q1" s="306" t="s">
        <v>165</v>
      </c>
      <c r="R1" s="306" t="s">
        <v>197</v>
      </c>
      <c r="S1" s="433" t="s">
        <v>144</v>
      </c>
      <c r="T1" s="433" t="s">
        <v>157</v>
      </c>
    </row>
    <row r="2" spans="1:20" ht="42" customHeight="1" thickBot="1">
      <c r="A2" s="308"/>
      <c r="B2" s="309" t="s">
        <v>431</v>
      </c>
      <c r="C2" s="310" t="s">
        <v>166</v>
      </c>
      <c r="D2" s="310" t="s">
        <v>166</v>
      </c>
      <c r="E2" s="310" t="s">
        <v>166</v>
      </c>
      <c r="F2" s="310" t="s">
        <v>166</v>
      </c>
      <c r="G2" s="310" t="s">
        <v>166</v>
      </c>
      <c r="H2" s="310"/>
      <c r="I2" s="310"/>
      <c r="J2" s="310" t="s">
        <v>166</v>
      </c>
      <c r="K2" s="310" t="s">
        <v>166</v>
      </c>
      <c r="L2" s="310" t="s">
        <v>166</v>
      </c>
      <c r="M2" s="310" t="s">
        <v>166</v>
      </c>
      <c r="N2" s="310" t="s">
        <v>166</v>
      </c>
      <c r="O2" s="310" t="s">
        <v>166</v>
      </c>
      <c r="P2" s="310" t="s">
        <v>166</v>
      </c>
      <c r="Q2" s="310" t="s">
        <v>166</v>
      </c>
      <c r="R2" s="310" t="s">
        <v>166</v>
      </c>
      <c r="S2" s="310"/>
      <c r="T2" s="310"/>
    </row>
    <row r="3" spans="1:20" ht="13.5" thickBot="1">
      <c r="A3" s="311">
        <v>2</v>
      </c>
      <c r="B3" s="312" t="s">
        <v>167</v>
      </c>
      <c r="C3" s="313">
        <f>+C5+C6+C7+C8+C15+C16+C17+C20+C9+C10+C11+C12+C18+C19</f>
        <v>1827919</v>
      </c>
      <c r="D3" s="313">
        <f aca="true" t="shared" si="0" ref="D3:R3">+D5+D6+D7+D8+D15+D16+D17+D20+D9+D10+D11+D12+D18+D19</f>
        <v>0</v>
      </c>
      <c r="E3" s="313">
        <f t="shared" si="0"/>
        <v>47666</v>
      </c>
      <c r="F3" s="313">
        <f t="shared" si="0"/>
        <v>0</v>
      </c>
      <c r="G3" s="313">
        <f t="shared" si="0"/>
        <v>0</v>
      </c>
      <c r="H3" s="313">
        <f t="shared" si="0"/>
        <v>0</v>
      </c>
      <c r="I3" s="313">
        <f t="shared" si="0"/>
        <v>0</v>
      </c>
      <c r="J3" s="313">
        <f t="shared" si="0"/>
        <v>0</v>
      </c>
      <c r="K3" s="313">
        <f t="shared" si="0"/>
        <v>0</v>
      </c>
      <c r="L3" s="313">
        <f t="shared" si="0"/>
        <v>0</v>
      </c>
      <c r="M3" s="313">
        <f t="shared" si="0"/>
        <v>0</v>
      </c>
      <c r="N3" s="313">
        <f t="shared" si="0"/>
        <v>0</v>
      </c>
      <c r="O3" s="313">
        <f t="shared" si="0"/>
        <v>0</v>
      </c>
      <c r="P3" s="313">
        <f t="shared" si="0"/>
        <v>0</v>
      </c>
      <c r="Q3" s="313">
        <f t="shared" si="0"/>
        <v>0</v>
      </c>
      <c r="R3" s="313">
        <f t="shared" si="0"/>
        <v>1858695</v>
      </c>
      <c r="S3" s="313">
        <f>+S5+S6+S7+S8+S15+S16+S17+S20+S9+S10+S11+S12+S18+S19+S21</f>
        <v>1211728</v>
      </c>
      <c r="T3" s="314">
        <f aca="true" t="shared" si="1" ref="T3:T10">+S3/R3</f>
        <v>0.6519240650025959</v>
      </c>
    </row>
    <row r="4" spans="1:20" ht="47.25" customHeight="1" thickBot="1">
      <c r="A4" s="315"/>
      <c r="B4" s="316" t="s">
        <v>168</v>
      </c>
      <c r="C4" s="317">
        <f>+C3-C11</f>
        <v>1780253</v>
      </c>
      <c r="D4" s="317">
        <f>+D3-D11</f>
        <v>0</v>
      </c>
      <c r="E4" s="317">
        <f>+C4+D4</f>
        <v>1780253</v>
      </c>
      <c r="F4" s="317">
        <f>+F3-F11</f>
        <v>0</v>
      </c>
      <c r="G4" s="317">
        <f>+G3-G11</f>
        <v>0</v>
      </c>
      <c r="H4" s="317">
        <f>+H3-H11</f>
        <v>0</v>
      </c>
      <c r="I4" s="318" t="e">
        <f>+H4/G4</f>
        <v>#DIV/0!</v>
      </c>
      <c r="J4" s="317">
        <f>+J3-J11</f>
        <v>0</v>
      </c>
      <c r="K4" s="317">
        <f>+G4+J4</f>
        <v>0</v>
      </c>
      <c r="L4" s="317">
        <f>+L3-L11</f>
        <v>0</v>
      </c>
      <c r="M4" s="317">
        <f>+K4+L4</f>
        <v>0</v>
      </c>
      <c r="N4" s="317">
        <f>+N3-N11</f>
        <v>0</v>
      </c>
      <c r="O4" s="317">
        <f>+M4+N4</f>
        <v>0</v>
      </c>
      <c r="P4" s="317">
        <f>+P3-P11</f>
        <v>0</v>
      </c>
      <c r="Q4" s="317">
        <f>+O4+P4</f>
        <v>0</v>
      </c>
      <c r="R4" s="317"/>
      <c r="S4" s="317">
        <f>+S3-S11</f>
        <v>1211728</v>
      </c>
      <c r="T4" s="318"/>
    </row>
    <row r="5" spans="1:20" ht="12.75">
      <c r="A5" s="319">
        <v>21</v>
      </c>
      <c r="B5" s="320" t="s">
        <v>432</v>
      </c>
      <c r="C5" s="343">
        <f>444447-C10</f>
        <v>420074</v>
      </c>
      <c r="D5" s="343"/>
      <c r="E5" s="343"/>
      <c r="F5" s="343"/>
      <c r="G5" s="343"/>
      <c r="H5" s="343"/>
      <c r="I5" s="344"/>
      <c r="J5" s="343"/>
      <c r="K5" s="343"/>
      <c r="L5" s="343"/>
      <c r="M5" s="343"/>
      <c r="N5" s="343"/>
      <c r="O5" s="343"/>
      <c r="P5" s="343"/>
      <c r="Q5" s="343"/>
      <c r="R5" s="343">
        <f>505180-R10</f>
        <v>480507</v>
      </c>
      <c r="S5" s="343">
        <f>528349</f>
        <v>528349</v>
      </c>
      <c r="T5" s="344">
        <f t="shared" si="1"/>
        <v>1.0995656670974616</v>
      </c>
    </row>
    <row r="6" spans="1:20" ht="12.75">
      <c r="A6" s="321">
        <v>22</v>
      </c>
      <c r="B6" s="322" t="s">
        <v>169</v>
      </c>
      <c r="C6" s="343"/>
      <c r="D6" s="343"/>
      <c r="E6" s="343"/>
      <c r="F6" s="343"/>
      <c r="G6" s="343"/>
      <c r="H6" s="343"/>
      <c r="I6" s="344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4"/>
    </row>
    <row r="7" spans="1:20" ht="12.75">
      <c r="A7" s="321">
        <v>23</v>
      </c>
      <c r="B7" s="322" t="s">
        <v>101</v>
      </c>
      <c r="C7" s="343">
        <f>265299-C15</f>
        <v>209800</v>
      </c>
      <c r="D7" s="343"/>
      <c r="E7" s="343"/>
      <c r="F7" s="343"/>
      <c r="G7" s="343"/>
      <c r="H7" s="343"/>
      <c r="I7" s="344"/>
      <c r="J7" s="343"/>
      <c r="K7" s="343"/>
      <c r="L7" s="343"/>
      <c r="M7" s="343"/>
      <c r="N7" s="343"/>
      <c r="O7" s="343"/>
      <c r="P7" s="343"/>
      <c r="Q7" s="343"/>
      <c r="R7" s="343">
        <v>114161</v>
      </c>
      <c r="S7" s="343">
        <v>71397</v>
      </c>
      <c r="T7" s="344">
        <f t="shared" si="1"/>
        <v>0.625406224542532</v>
      </c>
    </row>
    <row r="8" spans="1:20" ht="12.75">
      <c r="A8" s="323">
        <v>24</v>
      </c>
      <c r="B8" s="324" t="s">
        <v>170</v>
      </c>
      <c r="C8" s="348">
        <v>640467</v>
      </c>
      <c r="D8" s="348"/>
      <c r="E8" s="348"/>
      <c r="F8" s="348"/>
      <c r="G8" s="348"/>
      <c r="H8" s="348"/>
      <c r="I8" s="349"/>
      <c r="J8" s="348"/>
      <c r="K8" s="348"/>
      <c r="L8" s="348"/>
      <c r="M8" s="348"/>
      <c r="N8" s="348"/>
      <c r="O8" s="348"/>
      <c r="P8" s="348"/>
      <c r="Q8" s="348"/>
      <c r="R8" s="348">
        <f>572654-R15</f>
        <v>517155</v>
      </c>
      <c r="S8" s="348">
        <v>204998</v>
      </c>
      <c r="T8" s="349">
        <f t="shared" si="1"/>
        <v>0.3963956647426787</v>
      </c>
    </row>
    <row r="9" spans="1:20" ht="12.75">
      <c r="A9" s="325">
        <v>241</v>
      </c>
      <c r="B9" s="326" t="s">
        <v>171</v>
      </c>
      <c r="C9" s="436">
        <v>241028</v>
      </c>
      <c r="D9" s="436"/>
      <c r="E9" s="436"/>
      <c r="F9" s="436"/>
      <c r="G9" s="436"/>
      <c r="H9" s="436"/>
      <c r="I9" s="437"/>
      <c r="J9" s="436"/>
      <c r="K9" s="436"/>
      <c r="L9" s="436"/>
      <c r="M9" s="436"/>
      <c r="N9" s="436"/>
      <c r="O9" s="436"/>
      <c r="P9" s="436"/>
      <c r="Q9" s="436"/>
      <c r="R9" s="436">
        <v>371089</v>
      </c>
      <c r="S9" s="436">
        <f>371089-S15</f>
        <v>344128</v>
      </c>
      <c r="T9" s="437">
        <f t="shared" si="1"/>
        <v>0.9273462700322564</v>
      </c>
    </row>
    <row r="10" spans="1:20" ht="12.75">
      <c r="A10" s="325">
        <v>242</v>
      </c>
      <c r="B10" s="326" t="s">
        <v>172</v>
      </c>
      <c r="C10" s="436">
        <v>24373</v>
      </c>
      <c r="D10" s="436"/>
      <c r="E10" s="436"/>
      <c r="F10" s="436"/>
      <c r="G10" s="436"/>
      <c r="H10" s="436"/>
      <c r="I10" s="437"/>
      <c r="J10" s="436"/>
      <c r="K10" s="436"/>
      <c r="L10" s="436"/>
      <c r="M10" s="436"/>
      <c r="N10" s="436"/>
      <c r="O10" s="436"/>
      <c r="P10" s="436"/>
      <c r="Q10" s="436"/>
      <c r="R10" s="436">
        <v>24673</v>
      </c>
      <c r="S10" s="436">
        <v>24616</v>
      </c>
      <c r="T10" s="437">
        <f t="shared" si="1"/>
        <v>0.9976897823531796</v>
      </c>
    </row>
    <row r="11" spans="1:20" ht="12.75">
      <c r="A11" s="327">
        <v>243</v>
      </c>
      <c r="B11" s="328" t="s">
        <v>173</v>
      </c>
      <c r="C11" s="329">
        <v>47666</v>
      </c>
      <c r="D11" s="329"/>
      <c r="E11" s="329">
        <f>+C11+D11</f>
        <v>47666</v>
      </c>
      <c r="F11" s="329"/>
      <c r="G11" s="329"/>
      <c r="H11" s="329"/>
      <c r="I11" s="330"/>
      <c r="J11" s="329"/>
      <c r="K11" s="329">
        <f>+G11+J11</f>
        <v>0</v>
      </c>
      <c r="L11" s="329"/>
      <c r="M11" s="329">
        <f>+K11+L11</f>
        <v>0</v>
      </c>
      <c r="N11" s="329"/>
      <c r="O11" s="329">
        <f>+M11+N11</f>
        <v>0</v>
      </c>
      <c r="P11" s="329"/>
      <c r="Q11" s="329">
        <f>+O11+P11</f>
        <v>0</v>
      </c>
      <c r="R11" s="329">
        <v>0</v>
      </c>
      <c r="S11" s="329"/>
      <c r="T11" s="330"/>
    </row>
    <row r="12" spans="1:20" ht="12.75">
      <c r="A12" s="325">
        <v>244</v>
      </c>
      <c r="B12" s="326" t="s">
        <v>174</v>
      </c>
      <c r="C12" s="436">
        <v>3200</v>
      </c>
      <c r="D12" s="436"/>
      <c r="E12" s="436"/>
      <c r="F12" s="436"/>
      <c r="G12" s="436"/>
      <c r="H12" s="436"/>
      <c r="I12" s="437"/>
      <c r="J12" s="436"/>
      <c r="K12" s="436"/>
      <c r="L12" s="436"/>
      <c r="M12" s="436"/>
      <c r="N12" s="436"/>
      <c r="O12" s="436"/>
      <c r="P12" s="436"/>
      <c r="Q12" s="436"/>
      <c r="R12" s="436">
        <v>3200</v>
      </c>
      <c r="S12" s="436">
        <v>3762</v>
      </c>
      <c r="T12" s="437">
        <f>+S12/R12</f>
        <v>1.175625</v>
      </c>
    </row>
    <row r="13" spans="1:20" ht="12.75">
      <c r="A13" s="325">
        <v>245</v>
      </c>
      <c r="B13" s="326" t="s">
        <v>175</v>
      </c>
      <c r="C13" s="436"/>
      <c r="D13" s="436"/>
      <c r="E13" s="436"/>
      <c r="F13" s="436"/>
      <c r="G13" s="436"/>
      <c r="H13" s="436"/>
      <c r="I13" s="437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7"/>
    </row>
    <row r="14" spans="1:20" ht="12.75">
      <c r="A14" s="331">
        <v>246</v>
      </c>
      <c r="B14" s="326" t="s">
        <v>176</v>
      </c>
      <c r="C14" s="438"/>
      <c r="D14" s="438"/>
      <c r="E14" s="438"/>
      <c r="F14" s="438"/>
      <c r="G14" s="438"/>
      <c r="H14" s="438"/>
      <c r="I14" s="439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7"/>
    </row>
    <row r="15" spans="1:20" ht="12.75">
      <c r="A15" s="331">
        <v>25</v>
      </c>
      <c r="B15" s="326" t="s">
        <v>177</v>
      </c>
      <c r="C15" s="438">
        <v>55499</v>
      </c>
      <c r="D15" s="438"/>
      <c r="E15" s="438"/>
      <c r="F15" s="438"/>
      <c r="G15" s="438"/>
      <c r="H15" s="438"/>
      <c r="I15" s="439"/>
      <c r="J15" s="438"/>
      <c r="K15" s="438"/>
      <c r="L15" s="438"/>
      <c r="M15" s="438"/>
      <c r="N15" s="438"/>
      <c r="O15" s="438"/>
      <c r="P15" s="438"/>
      <c r="Q15" s="438"/>
      <c r="R15" s="438">
        <v>55499</v>
      </c>
      <c r="S15" s="438">
        <v>26961</v>
      </c>
      <c r="T15" s="437">
        <f>+S15/R15</f>
        <v>0.4857925368024649</v>
      </c>
    </row>
    <row r="16" spans="1:20" ht="12.75">
      <c r="A16" s="319">
        <v>26</v>
      </c>
      <c r="B16" s="320" t="s">
        <v>178</v>
      </c>
      <c r="C16" s="348">
        <v>168312</v>
      </c>
      <c r="D16" s="348"/>
      <c r="E16" s="348"/>
      <c r="F16" s="348"/>
      <c r="G16" s="348"/>
      <c r="H16" s="348"/>
      <c r="I16" s="349"/>
      <c r="J16" s="348"/>
      <c r="K16" s="348"/>
      <c r="L16" s="348"/>
      <c r="M16" s="348"/>
      <c r="N16" s="348"/>
      <c r="O16" s="348"/>
      <c r="P16" s="348"/>
      <c r="Q16" s="348"/>
      <c r="R16" s="348">
        <v>284911</v>
      </c>
      <c r="S16" s="348"/>
      <c r="T16" s="349">
        <f>+S16/R16</f>
        <v>0</v>
      </c>
    </row>
    <row r="17" spans="1:20" ht="12.75">
      <c r="A17" s="321">
        <v>27</v>
      </c>
      <c r="B17" s="322" t="s">
        <v>179</v>
      </c>
      <c r="C17" s="348"/>
      <c r="D17" s="348"/>
      <c r="E17" s="348"/>
      <c r="F17" s="348"/>
      <c r="G17" s="348"/>
      <c r="H17" s="348"/>
      <c r="I17" s="349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</row>
    <row r="18" spans="1:20" ht="12.75">
      <c r="A18" s="325">
        <v>271</v>
      </c>
      <c r="B18" s="334" t="s">
        <v>102</v>
      </c>
      <c r="C18" s="436">
        <v>10000</v>
      </c>
      <c r="D18" s="436"/>
      <c r="E18" s="436"/>
      <c r="F18" s="436"/>
      <c r="G18" s="436"/>
      <c r="H18" s="436"/>
      <c r="I18" s="437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349"/>
    </row>
    <row r="19" spans="1:20" ht="12.75">
      <c r="A19" s="325">
        <v>272</v>
      </c>
      <c r="B19" s="326" t="s">
        <v>609</v>
      </c>
      <c r="C19" s="436">
        <v>7500</v>
      </c>
      <c r="D19" s="436"/>
      <c r="E19" s="436"/>
      <c r="F19" s="436"/>
      <c r="G19" s="436"/>
      <c r="H19" s="436"/>
      <c r="I19" s="437"/>
      <c r="J19" s="436"/>
      <c r="K19" s="436"/>
      <c r="L19" s="436"/>
      <c r="M19" s="436"/>
      <c r="N19" s="436"/>
      <c r="O19" s="436"/>
      <c r="P19" s="436"/>
      <c r="Q19" s="436"/>
      <c r="R19" s="436">
        <v>7500</v>
      </c>
      <c r="S19" s="436">
        <v>7500</v>
      </c>
      <c r="T19" s="349">
        <f>+S19/R19</f>
        <v>1</v>
      </c>
    </row>
    <row r="20" spans="1:20" ht="12.75">
      <c r="A20" s="325">
        <v>28</v>
      </c>
      <c r="B20" s="326" t="s">
        <v>180</v>
      </c>
      <c r="C20" s="436"/>
      <c r="D20" s="436"/>
      <c r="E20" s="436"/>
      <c r="F20" s="436"/>
      <c r="G20" s="436"/>
      <c r="H20" s="436"/>
      <c r="I20" s="437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349"/>
    </row>
    <row r="21" spans="1:20" ht="13.5" thickBot="1">
      <c r="A21" s="325">
        <v>29</v>
      </c>
      <c r="B21" s="326" t="s">
        <v>181</v>
      </c>
      <c r="C21" s="436"/>
      <c r="D21" s="436"/>
      <c r="E21" s="436"/>
      <c r="F21" s="436"/>
      <c r="G21" s="436"/>
      <c r="H21" s="436"/>
      <c r="I21" s="437"/>
      <c r="J21" s="436"/>
      <c r="K21" s="436"/>
      <c r="L21" s="436"/>
      <c r="M21" s="436"/>
      <c r="N21" s="436"/>
      <c r="O21" s="436"/>
      <c r="P21" s="436"/>
      <c r="Q21" s="436"/>
      <c r="R21" s="436"/>
      <c r="S21" s="436">
        <v>17</v>
      </c>
      <c r="T21" s="437"/>
    </row>
    <row r="22" spans="1:20" ht="13.5" thickBot="1">
      <c r="A22" s="311">
        <v>1</v>
      </c>
      <c r="B22" s="335" t="s">
        <v>182</v>
      </c>
      <c r="C22" s="313">
        <f>+C24+C25+C26+C27+C28+C33+C34+C36+C37+C29+C30</f>
        <v>1827919</v>
      </c>
      <c r="D22" s="313">
        <f aca="true" t="shared" si="2" ref="D22:Q22">+D24+D25+D26+D27+D28+D33+D34+D36+D37+D29+D30</f>
        <v>0</v>
      </c>
      <c r="E22" s="313">
        <f t="shared" si="2"/>
        <v>0</v>
      </c>
      <c r="F22" s="313">
        <f t="shared" si="2"/>
        <v>0</v>
      </c>
      <c r="G22" s="313">
        <f t="shared" si="2"/>
        <v>0</v>
      </c>
      <c r="H22" s="313">
        <f t="shared" si="2"/>
        <v>0</v>
      </c>
      <c r="I22" s="313">
        <f t="shared" si="2"/>
        <v>0</v>
      </c>
      <c r="J22" s="313">
        <f t="shared" si="2"/>
        <v>0</v>
      </c>
      <c r="K22" s="313">
        <f t="shared" si="2"/>
        <v>0</v>
      </c>
      <c r="L22" s="313">
        <f t="shared" si="2"/>
        <v>0</v>
      </c>
      <c r="M22" s="313">
        <f t="shared" si="2"/>
        <v>0</v>
      </c>
      <c r="N22" s="313">
        <f t="shared" si="2"/>
        <v>0</v>
      </c>
      <c r="O22" s="313">
        <f t="shared" si="2"/>
        <v>0</v>
      </c>
      <c r="P22" s="313">
        <f t="shared" si="2"/>
        <v>0</v>
      </c>
      <c r="Q22" s="313">
        <f t="shared" si="2"/>
        <v>0</v>
      </c>
      <c r="R22" s="313">
        <f>+R24+R25+R26+R27+R28+R33+R34+R36+R37+R29+R30+R31</f>
        <v>1858695</v>
      </c>
      <c r="S22" s="313">
        <f>+S24+S25+S26+S27+S28+S33+S34+S36+S37+S29+S30+S38+S31</f>
        <v>1199929</v>
      </c>
      <c r="T22" s="314">
        <f aca="true" t="shared" si="3" ref="T22:T30">+S22/R22</f>
        <v>0.6455760627752267</v>
      </c>
    </row>
    <row r="23" spans="1:20" ht="48.75" customHeight="1" thickBot="1">
      <c r="A23" s="315"/>
      <c r="B23" s="316" t="s">
        <v>183</v>
      </c>
      <c r="C23" s="336">
        <f>+C22-C30</f>
        <v>1430516</v>
      </c>
      <c r="D23" s="336">
        <f>+D22-D30</f>
        <v>0</v>
      </c>
      <c r="E23" s="336">
        <f>+C23+D23</f>
        <v>1430516</v>
      </c>
      <c r="F23" s="336">
        <f>+F22-F30</f>
        <v>0</v>
      </c>
      <c r="G23" s="336">
        <f>+G22-G30</f>
        <v>0</v>
      </c>
      <c r="H23" s="336">
        <f>+H22-H30</f>
        <v>0</v>
      </c>
      <c r="I23" s="337" t="e">
        <f>+H23/G23</f>
        <v>#DIV/0!</v>
      </c>
      <c r="J23" s="336">
        <f>+J22-J30</f>
        <v>0</v>
      </c>
      <c r="K23" s="336">
        <f>+G23+J23</f>
        <v>0</v>
      </c>
      <c r="L23" s="336">
        <f>+L22-L30</f>
        <v>0</v>
      </c>
      <c r="M23" s="336">
        <f>+K23+L23</f>
        <v>0</v>
      </c>
      <c r="N23" s="336">
        <f>+N22-N30</f>
        <v>0</v>
      </c>
      <c r="O23" s="336">
        <f>+M23+N23</f>
        <v>0</v>
      </c>
      <c r="P23" s="336">
        <f>+P22-P30</f>
        <v>0</v>
      </c>
      <c r="Q23" s="336">
        <f>+O23+P23</f>
        <v>0</v>
      </c>
      <c r="R23" s="336">
        <v>666103.7059443782</v>
      </c>
      <c r="S23" s="336">
        <f>+S22-S30</f>
        <v>843378</v>
      </c>
      <c r="T23" s="337">
        <f t="shared" si="3"/>
        <v>1.2661361774054216</v>
      </c>
    </row>
    <row r="24" spans="1:20" ht="12.75">
      <c r="A24" s="338">
        <v>11</v>
      </c>
      <c r="B24" s="339" t="s">
        <v>427</v>
      </c>
      <c r="C24" s="340">
        <v>8539</v>
      </c>
      <c r="D24" s="340"/>
      <c r="E24" s="340"/>
      <c r="F24" s="340"/>
      <c r="G24" s="340"/>
      <c r="H24" s="340"/>
      <c r="I24" s="341"/>
      <c r="J24" s="340"/>
      <c r="K24" s="340"/>
      <c r="L24" s="340"/>
      <c r="M24" s="340"/>
      <c r="N24" s="340"/>
      <c r="O24" s="340"/>
      <c r="P24" s="340"/>
      <c r="Q24" s="340"/>
      <c r="R24" s="340">
        <v>15752</v>
      </c>
      <c r="S24" s="340">
        <v>14552</v>
      </c>
      <c r="T24" s="341">
        <f t="shared" si="3"/>
        <v>0.9238191975622143</v>
      </c>
    </row>
    <row r="25" spans="1:20" ht="12.75">
      <c r="A25" s="327">
        <v>12</v>
      </c>
      <c r="B25" s="326" t="s">
        <v>184</v>
      </c>
      <c r="C25" s="332">
        <v>2458</v>
      </c>
      <c r="D25" s="332"/>
      <c r="E25" s="332"/>
      <c r="F25" s="332"/>
      <c r="G25" s="332"/>
      <c r="H25" s="332"/>
      <c r="I25" s="333"/>
      <c r="J25" s="332"/>
      <c r="K25" s="332"/>
      <c r="L25" s="332"/>
      <c r="M25" s="332"/>
      <c r="N25" s="332"/>
      <c r="O25" s="332"/>
      <c r="P25" s="332"/>
      <c r="Q25" s="332"/>
      <c r="R25" s="332">
        <v>4173</v>
      </c>
      <c r="S25" s="332">
        <v>3824</v>
      </c>
      <c r="T25" s="333">
        <f t="shared" si="3"/>
        <v>0.9163671219745986</v>
      </c>
    </row>
    <row r="26" spans="1:20" ht="12.75">
      <c r="A26" s="327">
        <v>13</v>
      </c>
      <c r="B26" s="326" t="s">
        <v>185</v>
      </c>
      <c r="C26" s="332">
        <v>337446</v>
      </c>
      <c r="D26" s="332"/>
      <c r="E26" s="332"/>
      <c r="F26" s="332"/>
      <c r="G26" s="332"/>
      <c r="H26" s="332"/>
      <c r="I26" s="333"/>
      <c r="J26" s="332"/>
      <c r="K26" s="332"/>
      <c r="L26" s="332"/>
      <c r="M26" s="332"/>
      <c r="N26" s="332"/>
      <c r="O26" s="332"/>
      <c r="P26" s="332"/>
      <c r="Q26" s="332"/>
      <c r="R26" s="332">
        <v>400394</v>
      </c>
      <c r="S26" s="332">
        <v>398884</v>
      </c>
      <c r="T26" s="333">
        <f t="shared" si="3"/>
        <v>0.9962287147160047</v>
      </c>
    </row>
    <row r="27" spans="1:20" ht="12.75">
      <c r="A27" s="327">
        <v>131</v>
      </c>
      <c r="B27" s="326" t="s">
        <v>186</v>
      </c>
      <c r="C27" s="332">
        <v>5670</v>
      </c>
      <c r="D27" s="332"/>
      <c r="E27" s="332"/>
      <c r="F27" s="332"/>
      <c r="G27" s="332"/>
      <c r="H27" s="332"/>
      <c r="I27" s="333"/>
      <c r="J27" s="332"/>
      <c r="K27" s="332"/>
      <c r="L27" s="332"/>
      <c r="M27" s="332"/>
      <c r="N27" s="332"/>
      <c r="O27" s="332"/>
      <c r="P27" s="332"/>
      <c r="Q27" s="332"/>
      <c r="R27" s="332">
        <v>12641</v>
      </c>
      <c r="S27" s="332">
        <v>12349</v>
      </c>
      <c r="T27" s="333">
        <f t="shared" si="3"/>
        <v>0.9769005616644253</v>
      </c>
    </row>
    <row r="28" spans="1:20" ht="12.75">
      <c r="A28" s="342">
        <v>14</v>
      </c>
      <c r="B28" s="324" t="s">
        <v>187</v>
      </c>
      <c r="C28" s="343">
        <v>11730</v>
      </c>
      <c r="D28" s="343"/>
      <c r="E28" s="343"/>
      <c r="F28" s="343"/>
      <c r="G28" s="343"/>
      <c r="H28" s="343"/>
      <c r="I28" s="344"/>
      <c r="J28" s="343"/>
      <c r="K28" s="343"/>
      <c r="L28" s="343"/>
      <c r="M28" s="343"/>
      <c r="N28" s="343"/>
      <c r="O28" s="343"/>
      <c r="P28" s="343"/>
      <c r="Q28" s="343"/>
      <c r="R28" s="343">
        <f>77196-R31</f>
        <v>75696</v>
      </c>
      <c r="S28" s="343">
        <f>38978-S31</f>
        <v>37478</v>
      </c>
      <c r="T28" s="344">
        <f t="shared" si="3"/>
        <v>0.49511202705559076</v>
      </c>
    </row>
    <row r="29" spans="1:20" ht="12.75">
      <c r="A29" s="327">
        <v>141</v>
      </c>
      <c r="B29" s="326" t="s">
        <v>188</v>
      </c>
      <c r="C29" s="332">
        <v>4976</v>
      </c>
      <c r="D29" s="332"/>
      <c r="E29" s="332"/>
      <c r="F29" s="332"/>
      <c r="G29" s="332"/>
      <c r="H29" s="332"/>
      <c r="I29" s="333"/>
      <c r="J29" s="332"/>
      <c r="K29" s="332"/>
      <c r="L29" s="332"/>
      <c r="M29" s="332"/>
      <c r="N29" s="332"/>
      <c r="O29" s="332"/>
      <c r="P29" s="332"/>
      <c r="Q29" s="332"/>
      <c r="R29" s="332">
        <v>8976</v>
      </c>
      <c r="S29" s="438">
        <v>1337</v>
      </c>
      <c r="T29" s="333">
        <f t="shared" si="3"/>
        <v>0.14895276292335116</v>
      </c>
    </row>
    <row r="30" spans="1:20" ht="12.75">
      <c r="A30" s="327">
        <v>142</v>
      </c>
      <c r="B30" s="345" t="s">
        <v>173</v>
      </c>
      <c r="C30" s="346">
        <v>397403</v>
      </c>
      <c r="D30" s="346"/>
      <c r="E30" s="346"/>
      <c r="F30" s="346"/>
      <c r="G30" s="346"/>
      <c r="H30" s="346"/>
      <c r="I30" s="347"/>
      <c r="J30" s="346"/>
      <c r="K30" s="346"/>
      <c r="L30" s="346"/>
      <c r="M30" s="346"/>
      <c r="N30" s="346"/>
      <c r="O30" s="346"/>
      <c r="P30" s="346"/>
      <c r="Q30" s="346"/>
      <c r="R30" s="346">
        <v>366319</v>
      </c>
      <c r="S30" s="346">
        <v>356551</v>
      </c>
      <c r="T30" s="347">
        <f t="shared" si="3"/>
        <v>0.9733347164629735</v>
      </c>
    </row>
    <row r="31" spans="1:20" ht="12.75">
      <c r="A31" s="331">
        <v>143</v>
      </c>
      <c r="B31" s="326" t="s">
        <v>189</v>
      </c>
      <c r="C31" s="332"/>
      <c r="D31" s="332"/>
      <c r="E31" s="332"/>
      <c r="F31" s="332"/>
      <c r="G31" s="332"/>
      <c r="H31" s="332"/>
      <c r="I31" s="333"/>
      <c r="J31" s="332"/>
      <c r="K31" s="332"/>
      <c r="L31" s="332"/>
      <c r="M31" s="332"/>
      <c r="N31" s="332"/>
      <c r="O31" s="332"/>
      <c r="P31" s="332"/>
      <c r="Q31" s="332"/>
      <c r="R31" s="332">
        <v>1500</v>
      </c>
      <c r="S31" s="332">
        <v>1500</v>
      </c>
      <c r="T31" s="333"/>
    </row>
    <row r="32" spans="1:20" ht="12.75">
      <c r="A32" s="331">
        <v>144</v>
      </c>
      <c r="B32" s="326" t="s">
        <v>190</v>
      </c>
      <c r="C32" s="332"/>
      <c r="D32" s="332"/>
      <c r="E32" s="332"/>
      <c r="F32" s="332"/>
      <c r="G32" s="332"/>
      <c r="H32" s="332"/>
      <c r="I32" s="333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3"/>
    </row>
    <row r="33" spans="1:20" ht="12.75">
      <c r="A33" s="321">
        <v>15</v>
      </c>
      <c r="B33" s="322" t="s">
        <v>191</v>
      </c>
      <c r="C33" s="348"/>
      <c r="D33" s="348"/>
      <c r="E33" s="348"/>
      <c r="F33" s="348"/>
      <c r="G33" s="348"/>
      <c r="H33" s="348"/>
      <c r="I33" s="349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9"/>
    </row>
    <row r="34" spans="1:20" ht="12.75">
      <c r="A34" s="321">
        <v>16</v>
      </c>
      <c r="B34" s="322" t="s">
        <v>4</v>
      </c>
      <c r="C34" s="348">
        <v>893334</v>
      </c>
      <c r="D34" s="348"/>
      <c r="E34" s="348"/>
      <c r="F34" s="348"/>
      <c r="G34" s="348"/>
      <c r="H34" s="348"/>
      <c r="I34" s="349"/>
      <c r="J34" s="348"/>
      <c r="K34" s="348"/>
      <c r="L34" s="348"/>
      <c r="M34" s="348"/>
      <c r="N34" s="348"/>
      <c r="O34" s="348"/>
      <c r="P34" s="348"/>
      <c r="Q34" s="348"/>
      <c r="R34" s="348">
        <v>614776</v>
      </c>
      <c r="S34" s="348">
        <v>325079</v>
      </c>
      <c r="T34" s="349">
        <f>+S34/R34</f>
        <v>0.5287763347951123</v>
      </c>
    </row>
    <row r="35" spans="1:20" ht="12.75">
      <c r="A35" s="321">
        <v>17</v>
      </c>
      <c r="B35" s="322" t="s">
        <v>192</v>
      </c>
      <c r="C35" s="348"/>
      <c r="D35" s="348"/>
      <c r="E35" s="348"/>
      <c r="F35" s="348"/>
      <c r="G35" s="348"/>
      <c r="H35" s="348"/>
      <c r="I35" s="349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9"/>
    </row>
    <row r="36" spans="1:20" ht="12.75">
      <c r="A36" s="321">
        <v>18</v>
      </c>
      <c r="B36" s="322" t="s">
        <v>193</v>
      </c>
      <c r="C36" s="348">
        <v>141818</v>
      </c>
      <c r="D36" s="348"/>
      <c r="E36" s="348"/>
      <c r="F36" s="348"/>
      <c r="G36" s="348"/>
      <c r="H36" s="348"/>
      <c r="I36" s="349"/>
      <c r="J36" s="348"/>
      <c r="K36" s="348"/>
      <c r="L36" s="348"/>
      <c r="M36" s="348"/>
      <c r="N36" s="348"/>
      <c r="O36" s="348"/>
      <c r="P36" s="348"/>
      <c r="Q36" s="348"/>
      <c r="R36" s="348">
        <v>314839</v>
      </c>
      <c r="S36" s="348"/>
      <c r="T36" s="349">
        <f>+S36/R36</f>
        <v>0</v>
      </c>
    </row>
    <row r="37" spans="1:20" ht="12.75">
      <c r="A37" s="321">
        <v>19</v>
      </c>
      <c r="B37" s="322" t="s">
        <v>194</v>
      </c>
      <c r="C37" s="348">
        <v>24545</v>
      </c>
      <c r="D37" s="348"/>
      <c r="E37" s="348"/>
      <c r="F37" s="348"/>
      <c r="G37" s="348"/>
      <c r="H37" s="348"/>
      <c r="I37" s="349"/>
      <c r="J37" s="348"/>
      <c r="K37" s="348"/>
      <c r="L37" s="348"/>
      <c r="M37" s="348"/>
      <c r="N37" s="348"/>
      <c r="O37" s="348"/>
      <c r="P37" s="348"/>
      <c r="Q37" s="348"/>
      <c r="R37" s="348">
        <v>43629</v>
      </c>
      <c r="S37" s="348">
        <v>47786</v>
      </c>
      <c r="T37" s="349">
        <f>+S37/R37</f>
        <v>1.0952806619450366</v>
      </c>
    </row>
    <row r="38" spans="1:20" ht="13.5" thickBot="1">
      <c r="A38" s="350">
        <v>20</v>
      </c>
      <c r="B38" s="351" t="s">
        <v>195</v>
      </c>
      <c r="C38" s="352"/>
      <c r="D38" s="352"/>
      <c r="E38" s="352"/>
      <c r="F38" s="352"/>
      <c r="G38" s="352"/>
      <c r="H38" s="352"/>
      <c r="I38" s="353"/>
      <c r="J38" s="352"/>
      <c r="K38" s="352"/>
      <c r="L38" s="352"/>
      <c r="M38" s="352"/>
      <c r="N38" s="352"/>
      <c r="O38" s="352"/>
      <c r="P38" s="352"/>
      <c r="Q38" s="352"/>
      <c r="R38" s="352"/>
      <c r="S38" s="352">
        <v>589</v>
      </c>
      <c r="T38" s="353"/>
    </row>
    <row r="39" spans="11:18" ht="13.5" thickBot="1">
      <c r="K39">
        <f>+G39+J39</f>
        <v>0</v>
      </c>
      <c r="M39">
        <f>+K39+L39</f>
        <v>0</v>
      </c>
      <c r="O39">
        <f>+M39+N39</f>
        <v>0</v>
      </c>
      <c r="Q39">
        <f>+O39+P39</f>
        <v>0</v>
      </c>
      <c r="R39">
        <v>0</v>
      </c>
    </row>
    <row r="40" spans="2:20" ht="13.5" thickBot="1">
      <c r="B40" s="62" t="s">
        <v>616</v>
      </c>
      <c r="C40" s="354"/>
      <c r="D40" s="354">
        <f>+D3-D22</f>
        <v>0</v>
      </c>
      <c r="E40" s="354">
        <f>+E3-E22</f>
        <v>47666</v>
      </c>
      <c r="F40" s="354">
        <f>+F3-F22</f>
        <v>0</v>
      </c>
      <c r="G40" s="354">
        <f>+G3-G22</f>
        <v>0</v>
      </c>
      <c r="H40" s="354">
        <f>+H3-H16-H22</f>
        <v>0</v>
      </c>
      <c r="I40" s="354"/>
      <c r="J40" s="354">
        <f>+J3-J22</f>
        <v>0</v>
      </c>
      <c r="K40" s="354">
        <f>+G40+J40</f>
        <v>0</v>
      </c>
      <c r="L40" s="354">
        <f>+L3-L22</f>
        <v>0</v>
      </c>
      <c r="M40" s="354">
        <f>+K40+L40</f>
        <v>0</v>
      </c>
      <c r="N40" s="354">
        <f>+N3-N22</f>
        <v>0</v>
      </c>
      <c r="O40" s="354">
        <f>+M40+N40</f>
        <v>0</v>
      </c>
      <c r="P40" s="354">
        <f>+P3-P22</f>
        <v>0</v>
      </c>
      <c r="Q40" s="354">
        <f>+O40+P40</f>
        <v>0</v>
      </c>
      <c r="R40" s="354">
        <v>0.4140556219499558</v>
      </c>
      <c r="S40" s="354">
        <v>302465</v>
      </c>
      <c r="T40" s="354"/>
    </row>
    <row r="41" spans="2:20" ht="12.75">
      <c r="B41" s="165"/>
      <c r="C41" s="57"/>
      <c r="D41" s="57"/>
      <c r="E41" s="57"/>
      <c r="F41" s="57"/>
      <c r="G41" s="57"/>
      <c r="H41" s="57">
        <v>146477</v>
      </c>
      <c r="I41" s="57"/>
      <c r="J41" s="57"/>
      <c r="K41" s="57"/>
      <c r="S41" s="57"/>
      <c r="T41" s="57"/>
    </row>
    <row r="42" spans="2:20" ht="12.75">
      <c r="B42" s="165"/>
      <c r="H42" s="57">
        <f>SUM(H40:H41)</f>
        <v>146477</v>
      </c>
      <c r="I42" s="57"/>
      <c r="S42" s="57"/>
      <c r="T42" s="57"/>
    </row>
    <row r="43" spans="8:19" ht="12.75">
      <c r="H43" s="57"/>
      <c r="S43" s="57"/>
    </row>
  </sheetData>
  <sheetProtection/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76" r:id="rId1"/>
  <headerFooter alignWithMargins="0">
    <oddHeader>&amp;L1 sz. számú melléklet&amp;C&amp;"Arial,Félkövér"&amp;12Nagykovácsi Nagyközség Önkormányzatának 2013. évi bevételei és kiadásai&amp;R A 2013. évi önkormányzati költségvetési rendelethez</oddHeader>
    <oddFooter>&amp;L&amp;"Arial,Dőlt"&amp;8&amp;D&amp;C&amp;P&amp;R&amp;"Arial,Dőlt"&amp;8&amp;F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69"/>
  <sheetViews>
    <sheetView zoomScalePageLayoutView="0" workbookViewId="0" topLeftCell="A46">
      <selection activeCell="L32" sqref="L32"/>
    </sheetView>
  </sheetViews>
  <sheetFormatPr defaultColWidth="8.8515625" defaultRowHeight="12.75"/>
  <cols>
    <col min="1" max="1" width="5.00390625" style="9" customWidth="1"/>
    <col min="2" max="2" width="54.28125" style="9" customWidth="1"/>
    <col min="3" max="3" width="12.57421875" style="9" hidden="1" customWidth="1"/>
    <col min="4" max="4" width="13.57421875" style="9" hidden="1" customWidth="1"/>
    <col min="5" max="5" width="11.57421875" style="9" hidden="1" customWidth="1"/>
    <col min="6" max="8" width="16.140625" style="9" customWidth="1"/>
    <col min="9" max="9" width="16.140625" style="128" customWidth="1"/>
    <col min="10" max="16384" width="8.8515625" style="9" customWidth="1"/>
  </cols>
  <sheetData>
    <row r="1" spans="1:9" s="137" customFormat="1" ht="39" thickBot="1">
      <c r="A1" s="135" t="s">
        <v>444</v>
      </c>
      <c r="B1" s="136" t="s">
        <v>445</v>
      </c>
      <c r="C1" s="874" t="s">
        <v>514</v>
      </c>
      <c r="D1" s="875"/>
      <c r="E1" s="876"/>
      <c r="F1" s="65" t="s">
        <v>610</v>
      </c>
      <c r="G1" s="65" t="s">
        <v>143</v>
      </c>
      <c r="H1" s="65" t="s">
        <v>144</v>
      </c>
      <c r="I1" s="112" t="s">
        <v>145</v>
      </c>
    </row>
    <row r="2" spans="1:11" ht="20.25" customHeight="1" thickBot="1">
      <c r="A2" s="10"/>
      <c r="B2" s="11"/>
      <c r="C2" s="65" t="s">
        <v>504</v>
      </c>
      <c r="D2" s="66" t="s">
        <v>505</v>
      </c>
      <c r="E2" s="61" t="s">
        <v>506</v>
      </c>
      <c r="F2" s="65"/>
      <c r="G2" s="65"/>
      <c r="H2" s="65"/>
      <c r="I2" s="112" t="s">
        <v>446</v>
      </c>
      <c r="J2" s="64"/>
      <c r="K2" s="64"/>
    </row>
    <row r="3" spans="1:11" ht="13.5" thickBot="1">
      <c r="A3" s="13">
        <v>1</v>
      </c>
      <c r="B3" s="4">
        <v>2</v>
      </c>
      <c r="C3" s="13">
        <v>4</v>
      </c>
      <c r="D3" s="13">
        <v>5</v>
      </c>
      <c r="E3" s="13">
        <v>6</v>
      </c>
      <c r="F3" s="13">
        <v>3</v>
      </c>
      <c r="G3" s="13">
        <v>4</v>
      </c>
      <c r="H3" s="13">
        <v>5</v>
      </c>
      <c r="I3" s="114" t="s">
        <v>146</v>
      </c>
      <c r="J3" s="64"/>
      <c r="K3" s="64"/>
    </row>
    <row r="4" spans="1:11" ht="13.5" thickBot="1">
      <c r="A4" s="14" t="s">
        <v>447</v>
      </c>
      <c r="B4" s="77" t="s">
        <v>448</v>
      </c>
      <c r="C4" s="74"/>
      <c r="D4" s="74"/>
      <c r="E4" s="74"/>
      <c r="F4" s="74"/>
      <c r="G4" s="74"/>
      <c r="H4" s="74"/>
      <c r="I4" s="105"/>
      <c r="J4" s="163"/>
      <c r="K4" s="64"/>
    </row>
    <row r="5" spans="1:11" ht="13.5" thickBot="1">
      <c r="A5" s="78" t="s">
        <v>449</v>
      </c>
      <c r="B5" s="79" t="s">
        <v>450</v>
      </c>
      <c r="C5" s="80">
        <f aca="true" t="shared" si="0" ref="C5:H5">SUM(C6:C10)</f>
        <v>75081</v>
      </c>
      <c r="D5" s="80">
        <f t="shared" si="0"/>
        <v>10952</v>
      </c>
      <c r="E5" s="80">
        <f t="shared" si="0"/>
        <v>4373</v>
      </c>
      <c r="F5" s="80">
        <f t="shared" si="0"/>
        <v>596944</v>
      </c>
      <c r="G5" s="80">
        <f t="shared" si="0"/>
        <v>490149</v>
      </c>
      <c r="H5" s="80">
        <f t="shared" si="0"/>
        <v>209002</v>
      </c>
      <c r="I5" s="115">
        <f>+H5/G5</f>
        <v>0.42640503193926743</v>
      </c>
      <c r="J5" s="163"/>
      <c r="K5" s="64"/>
    </row>
    <row r="6" spans="1:11" ht="13.5" thickTop="1">
      <c r="A6" s="15"/>
      <c r="B6" s="16" t="s">
        <v>515</v>
      </c>
      <c r="C6" s="18">
        <f>33190-8762</f>
        <v>24428</v>
      </c>
      <c r="D6" s="18">
        <v>8762</v>
      </c>
      <c r="E6" s="18"/>
      <c r="F6" s="18">
        <v>14800</v>
      </c>
      <c r="G6" s="131">
        <v>22450</v>
      </c>
      <c r="H6" s="131">
        <v>23930</v>
      </c>
      <c r="I6" s="138"/>
      <c r="J6" s="164"/>
      <c r="K6" s="64"/>
    </row>
    <row r="7" spans="1:11" ht="12.75">
      <c r="A7" s="19"/>
      <c r="B7" s="20" t="s">
        <v>516</v>
      </c>
      <c r="C7" s="18">
        <f>15200+570</f>
        <v>15770</v>
      </c>
      <c r="D7" s="18"/>
      <c r="E7" s="18"/>
      <c r="F7" s="18">
        <v>498067</v>
      </c>
      <c r="G7" s="18">
        <v>437163</v>
      </c>
      <c r="H7" s="131">
        <v>108709</v>
      </c>
      <c r="I7" s="116">
        <f>+H7/G7</f>
        <v>0.24866926066478637</v>
      </c>
      <c r="J7" s="64"/>
      <c r="K7" s="64"/>
    </row>
    <row r="8" spans="1:11" ht="12.75">
      <c r="A8" s="19"/>
      <c r="B8" s="20" t="s">
        <v>517</v>
      </c>
      <c r="C8" s="18">
        <v>2106</v>
      </c>
      <c r="D8" s="18"/>
      <c r="E8" s="18"/>
      <c r="F8" s="18"/>
      <c r="G8" s="18">
        <v>2800</v>
      </c>
      <c r="H8" s="18">
        <v>2954</v>
      </c>
      <c r="I8" s="116"/>
      <c r="J8" s="64"/>
      <c r="K8" s="64"/>
    </row>
    <row r="9" spans="1:11" ht="12.75">
      <c r="A9" s="19"/>
      <c r="B9" s="21" t="s">
        <v>499</v>
      </c>
      <c r="C9" s="18">
        <f>14340-2190-4373</f>
        <v>7777</v>
      </c>
      <c r="D9" s="18">
        <v>2190</v>
      </c>
      <c r="E9" s="18">
        <v>4373</v>
      </c>
      <c r="F9" s="18">
        <v>78077</v>
      </c>
      <c r="G9" s="18">
        <v>14936</v>
      </c>
      <c r="H9" s="131">
        <v>60629</v>
      </c>
      <c r="I9" s="116">
        <f aca="true" t="shared" si="1" ref="I9:I17">+H9/G9</f>
        <v>4.059252811997857</v>
      </c>
      <c r="J9" s="64"/>
      <c r="K9" s="64"/>
    </row>
    <row r="10" spans="1:11" ht="13.5" thickBot="1">
      <c r="A10" s="19"/>
      <c r="B10" s="21" t="s">
        <v>451</v>
      </c>
      <c r="C10" s="18">
        <v>25000</v>
      </c>
      <c r="D10" s="18"/>
      <c r="E10" s="18"/>
      <c r="F10" s="18">
        <v>6000</v>
      </c>
      <c r="G10" s="18">
        <v>12800</v>
      </c>
      <c r="H10" s="131">
        <v>12780</v>
      </c>
      <c r="I10" s="116">
        <f t="shared" si="1"/>
        <v>0.9984375</v>
      </c>
      <c r="J10" s="64"/>
      <c r="K10" s="64"/>
    </row>
    <row r="11" spans="1:11" ht="13.5" thickBot="1">
      <c r="A11" s="78" t="s">
        <v>452</v>
      </c>
      <c r="B11" s="82" t="s">
        <v>453</v>
      </c>
      <c r="C11" s="83">
        <f aca="true" t="shared" si="2" ref="C11:H11">SUM(C12:C16)</f>
        <v>240021</v>
      </c>
      <c r="D11" s="83">
        <f t="shared" si="2"/>
        <v>0</v>
      </c>
      <c r="E11" s="83">
        <f t="shared" si="2"/>
        <v>0</v>
      </c>
      <c r="F11" s="83">
        <f t="shared" si="2"/>
        <v>301690</v>
      </c>
      <c r="G11" s="83">
        <f t="shared" si="2"/>
        <v>385433</v>
      </c>
      <c r="H11" s="83">
        <f t="shared" si="2"/>
        <v>385372</v>
      </c>
      <c r="I11" s="118">
        <f t="shared" si="1"/>
        <v>0.999841736436683</v>
      </c>
      <c r="J11" s="64"/>
      <c r="K11" s="64"/>
    </row>
    <row r="12" spans="1:11" ht="13.5" thickTop="1">
      <c r="A12" s="19"/>
      <c r="B12" s="20" t="s">
        <v>454</v>
      </c>
      <c r="C12" s="18">
        <v>56673</v>
      </c>
      <c r="D12" s="18"/>
      <c r="E12" s="18"/>
      <c r="F12" s="18">
        <v>96703</v>
      </c>
      <c r="G12" s="131">
        <v>140436</v>
      </c>
      <c r="H12" s="131">
        <v>140433</v>
      </c>
      <c r="I12" s="116">
        <f t="shared" si="1"/>
        <v>0.9999786379560797</v>
      </c>
      <c r="J12" s="64"/>
      <c r="K12" s="64"/>
    </row>
    <row r="13" spans="1:11" ht="12.75">
      <c r="A13" s="19"/>
      <c r="B13" s="20" t="s">
        <v>437</v>
      </c>
      <c r="C13" s="18">
        <v>89455</v>
      </c>
      <c r="D13" s="18"/>
      <c r="E13" s="18"/>
      <c r="F13" s="18">
        <v>98443</v>
      </c>
      <c r="G13" s="131">
        <v>115603</v>
      </c>
      <c r="H13" s="131">
        <v>115599</v>
      </c>
      <c r="I13" s="138">
        <f t="shared" si="1"/>
        <v>0.9999653988218299</v>
      </c>
      <c r="J13" s="64"/>
      <c r="K13" s="64"/>
    </row>
    <row r="14" spans="1:11" ht="12.75">
      <c r="A14" s="19"/>
      <c r="B14" s="20" t="s">
        <v>94</v>
      </c>
      <c r="C14" s="18"/>
      <c r="D14" s="18"/>
      <c r="E14" s="18"/>
      <c r="F14" s="18"/>
      <c r="G14" s="131">
        <v>150</v>
      </c>
      <c r="H14" s="131">
        <v>222</v>
      </c>
      <c r="I14" s="138">
        <f t="shared" si="1"/>
        <v>1.48</v>
      </c>
      <c r="J14" s="64"/>
      <c r="K14" s="64"/>
    </row>
    <row r="15" spans="1:11" ht="12.75">
      <c r="A15" s="19"/>
      <c r="B15" s="20" t="s">
        <v>518</v>
      </c>
      <c r="C15" s="18">
        <v>92393</v>
      </c>
      <c r="D15" s="18"/>
      <c r="E15" s="18"/>
      <c r="F15" s="18">
        <v>97374</v>
      </c>
      <c r="G15" s="131">
        <v>117474</v>
      </c>
      <c r="H15" s="131">
        <v>117444</v>
      </c>
      <c r="I15" s="138">
        <f t="shared" si="1"/>
        <v>0.9997446243424076</v>
      </c>
      <c r="J15" s="64"/>
      <c r="K15" s="64"/>
    </row>
    <row r="16" spans="1:11" ht="13.5" thickBot="1">
      <c r="A16" s="72"/>
      <c r="B16" s="21" t="s">
        <v>519</v>
      </c>
      <c r="C16" s="23">
        <v>1500</v>
      </c>
      <c r="D16" s="23"/>
      <c r="E16" s="23"/>
      <c r="F16" s="23">
        <v>9170</v>
      </c>
      <c r="G16" s="132">
        <v>11770</v>
      </c>
      <c r="H16" s="132">
        <v>11674</v>
      </c>
      <c r="I16" s="139">
        <f t="shared" si="1"/>
        <v>0.9918436703483432</v>
      </c>
      <c r="J16" s="64"/>
      <c r="K16" s="64"/>
    </row>
    <row r="17" spans="1:11" ht="13.5" thickBot="1">
      <c r="A17" s="78" t="s">
        <v>455</v>
      </c>
      <c r="B17" s="79" t="s">
        <v>456</v>
      </c>
      <c r="C17" s="83">
        <f aca="true" t="shared" si="3" ref="C17:H17">SUM(C18:C20)</f>
        <v>249069.84</v>
      </c>
      <c r="D17" s="83">
        <f t="shared" si="3"/>
        <v>0</v>
      </c>
      <c r="E17" s="83">
        <f t="shared" si="3"/>
        <v>0</v>
      </c>
      <c r="F17" s="83">
        <f t="shared" si="3"/>
        <v>24373</v>
      </c>
      <c r="G17" s="83">
        <f t="shared" si="3"/>
        <v>24673</v>
      </c>
      <c r="H17" s="83">
        <f t="shared" si="3"/>
        <v>24616</v>
      </c>
      <c r="I17" s="118">
        <f t="shared" si="1"/>
        <v>0.9976897823531796</v>
      </c>
      <c r="J17" s="36"/>
      <c r="K17" s="36"/>
    </row>
    <row r="18" spans="1:11" ht="13.5" thickTop="1">
      <c r="A18" s="15"/>
      <c r="B18" s="16"/>
      <c r="C18" s="84">
        <v>195935.84</v>
      </c>
      <c r="D18" s="18"/>
      <c r="E18" s="18"/>
      <c r="F18" s="84"/>
      <c r="G18" s="133"/>
      <c r="H18" s="133"/>
      <c r="I18" s="140"/>
      <c r="J18" s="36"/>
      <c r="K18" s="36"/>
    </row>
    <row r="19" spans="1:9" ht="12.75">
      <c r="A19" s="15"/>
      <c r="B19" s="85"/>
      <c r="C19" s="18">
        <v>0</v>
      </c>
      <c r="D19" s="18"/>
      <c r="E19" s="18"/>
      <c r="F19" s="18"/>
      <c r="G19" s="131"/>
      <c r="H19" s="131"/>
      <c r="I19" s="138"/>
    </row>
    <row r="20" spans="1:9" ht="13.5" thickBot="1">
      <c r="A20" s="72"/>
      <c r="B20" s="21" t="s">
        <v>440</v>
      </c>
      <c r="C20" s="23">
        <v>53134</v>
      </c>
      <c r="D20" s="23"/>
      <c r="E20" s="23"/>
      <c r="F20" s="23">
        <v>24373</v>
      </c>
      <c r="G20" s="132">
        <v>24673</v>
      </c>
      <c r="H20" s="132">
        <v>24616</v>
      </c>
      <c r="I20" s="139">
        <f>+H20/G20</f>
        <v>0.9976897823531796</v>
      </c>
    </row>
    <row r="21" spans="1:9" ht="13.5" thickBot="1">
      <c r="A21" s="78" t="s">
        <v>457</v>
      </c>
      <c r="B21" s="82" t="s">
        <v>520</v>
      </c>
      <c r="C21" s="86">
        <f aca="true" t="shared" si="4" ref="C21:H21">SUM(C22:C28)</f>
        <v>2082</v>
      </c>
      <c r="D21" s="86">
        <f t="shared" si="4"/>
        <v>0</v>
      </c>
      <c r="E21" s="86">
        <f t="shared" si="4"/>
        <v>17490</v>
      </c>
      <c r="F21" s="86">
        <f t="shared" si="4"/>
        <v>10217</v>
      </c>
      <c r="G21" s="86">
        <f t="shared" si="4"/>
        <v>12697</v>
      </c>
      <c r="H21" s="83">
        <f t="shared" si="4"/>
        <v>12889</v>
      </c>
      <c r="I21" s="81">
        <f>+H21/G21</f>
        <v>1.0151216822871545</v>
      </c>
    </row>
    <row r="22" spans="1:9" ht="13.5" thickTop="1">
      <c r="A22" s="24"/>
      <c r="B22" s="16" t="s">
        <v>521</v>
      </c>
      <c r="C22" s="84">
        <v>100</v>
      </c>
      <c r="D22" s="17"/>
      <c r="E22" s="17"/>
      <c r="F22" s="84"/>
      <c r="G22" s="133"/>
      <c r="H22" s="133"/>
      <c r="I22" s="140"/>
    </row>
    <row r="23" spans="1:9" ht="12.75">
      <c r="A23" s="25"/>
      <c r="B23" s="20" t="s">
        <v>522</v>
      </c>
      <c r="C23" s="18">
        <v>500</v>
      </c>
      <c r="D23" s="17"/>
      <c r="E23" s="17"/>
      <c r="F23" s="18">
        <v>2350</v>
      </c>
      <c r="G23" s="131">
        <v>1250</v>
      </c>
      <c r="H23" s="131">
        <v>1578</v>
      </c>
      <c r="I23" s="138">
        <f>+H23/G23</f>
        <v>1.2624</v>
      </c>
    </row>
    <row r="24" spans="1:9" ht="12.75">
      <c r="A24" s="25"/>
      <c r="B24" s="19" t="s">
        <v>458</v>
      </c>
      <c r="C24" s="18">
        <v>848</v>
      </c>
      <c r="D24" s="17"/>
      <c r="E24" s="17"/>
      <c r="F24" s="18">
        <v>231</v>
      </c>
      <c r="G24" s="131">
        <v>4651</v>
      </c>
      <c r="H24" s="131">
        <v>4650</v>
      </c>
      <c r="I24" s="138">
        <f>+H24/G24</f>
        <v>0.9997849924747366</v>
      </c>
    </row>
    <row r="25" spans="1:9" ht="12.75">
      <c r="A25" s="145"/>
      <c r="B25" s="26" t="s">
        <v>98</v>
      </c>
      <c r="C25" s="29">
        <v>634</v>
      </c>
      <c r="D25" s="17"/>
      <c r="E25" s="17"/>
      <c r="F25" s="29"/>
      <c r="G25" s="110"/>
      <c r="H25" s="110">
        <v>220</v>
      </c>
      <c r="I25" s="111"/>
    </row>
    <row r="26" spans="1:9" ht="12.75">
      <c r="A26" s="145"/>
      <c r="B26" s="26" t="s">
        <v>99</v>
      </c>
      <c r="C26" s="29"/>
      <c r="D26" s="17"/>
      <c r="E26" s="17"/>
      <c r="F26" s="110"/>
      <c r="G26" s="110">
        <v>1660</v>
      </c>
      <c r="H26" s="110">
        <v>1653</v>
      </c>
      <c r="I26" s="111"/>
    </row>
    <row r="27" spans="1:9" ht="12.75">
      <c r="A27" s="145"/>
      <c r="B27" s="26" t="s">
        <v>459</v>
      </c>
      <c r="C27" s="29">
        <f>14447-14447</f>
        <v>0</v>
      </c>
      <c r="D27" s="17"/>
      <c r="E27" s="29">
        <v>14447</v>
      </c>
      <c r="F27" s="110">
        <v>2850</v>
      </c>
      <c r="G27" s="110">
        <v>350</v>
      </c>
      <c r="H27" s="110">
        <v>349</v>
      </c>
      <c r="I27" s="111"/>
    </row>
    <row r="28" spans="1:9" ht="13.5" thickBot="1">
      <c r="A28" s="22"/>
      <c r="B28" s="5" t="s">
        <v>523</v>
      </c>
      <c r="C28" s="23">
        <f>3043-3043</f>
        <v>0</v>
      </c>
      <c r="D28" s="75"/>
      <c r="E28" s="23">
        <v>3043</v>
      </c>
      <c r="F28" s="132">
        <v>4786</v>
      </c>
      <c r="G28" s="132">
        <v>4786</v>
      </c>
      <c r="H28" s="132">
        <v>4439</v>
      </c>
      <c r="I28" s="139">
        <f>+H28/G28</f>
        <v>0.9274968658587547</v>
      </c>
    </row>
    <row r="29" spans="1:9" ht="13.5" thickBot="1">
      <c r="A29" s="78" t="s">
        <v>460</v>
      </c>
      <c r="B29" s="82" t="s">
        <v>524</v>
      </c>
      <c r="C29" s="86">
        <f>SUM(C30:C37)</f>
        <v>203174</v>
      </c>
      <c r="D29" s="86">
        <f>SUM(D30:D37)</f>
        <v>0</v>
      </c>
      <c r="E29" s="86">
        <f>SUM(E30:E37)</f>
        <v>0</v>
      </c>
      <c r="F29" s="86">
        <f>SUM(F30:F37)</f>
        <v>241028</v>
      </c>
      <c r="G29" s="86">
        <f>+G30+G31+G32</f>
        <v>371089</v>
      </c>
      <c r="H29" s="86">
        <f>+H30+H31+H32</f>
        <v>371089</v>
      </c>
      <c r="I29" s="81">
        <f>+H29/G29</f>
        <v>1</v>
      </c>
    </row>
    <row r="30" spans="1:9" ht="13.5" thickTop="1">
      <c r="A30" s="25"/>
      <c r="B30" s="20" t="s">
        <v>439</v>
      </c>
      <c r="C30" s="29">
        <v>163174</v>
      </c>
      <c r="D30" s="18"/>
      <c r="E30" s="18"/>
      <c r="F30" s="29">
        <v>241028</v>
      </c>
      <c r="G30" s="29">
        <v>371089</v>
      </c>
      <c r="H30" s="110">
        <v>371089</v>
      </c>
      <c r="I30" s="138">
        <f>+H30/G30</f>
        <v>1</v>
      </c>
    </row>
    <row r="31" spans="1:9" ht="12.75">
      <c r="A31" s="25"/>
      <c r="B31" s="20" t="s">
        <v>151</v>
      </c>
      <c r="C31" s="29"/>
      <c r="D31" s="18"/>
      <c r="E31" s="18"/>
      <c r="F31" s="29"/>
      <c r="G31" s="29"/>
      <c r="H31" s="110"/>
      <c r="I31" s="138"/>
    </row>
    <row r="32" spans="1:9" ht="12.75">
      <c r="A32" s="24"/>
      <c r="B32" s="28" t="s">
        <v>461</v>
      </c>
      <c r="C32" s="357"/>
      <c r="D32" s="357"/>
      <c r="E32" s="357"/>
      <c r="F32" s="357"/>
      <c r="G32" s="357"/>
      <c r="H32" s="358"/>
      <c r="I32" s="138"/>
    </row>
    <row r="33" spans="1:9" ht="12.75">
      <c r="A33" s="25"/>
      <c r="B33" s="20" t="s">
        <v>106</v>
      </c>
      <c r="C33" s="29"/>
      <c r="D33" s="18"/>
      <c r="E33" s="18"/>
      <c r="F33" s="29"/>
      <c r="G33" s="29"/>
      <c r="H33" s="110"/>
      <c r="I33" s="138"/>
    </row>
    <row r="34" spans="1:9" ht="12.75">
      <c r="A34" s="14"/>
      <c r="B34" s="21" t="s">
        <v>110</v>
      </c>
      <c r="C34" s="29"/>
      <c r="D34" s="18"/>
      <c r="E34" s="18"/>
      <c r="F34" s="29"/>
      <c r="G34" s="29"/>
      <c r="H34" s="110"/>
      <c r="I34" s="138"/>
    </row>
    <row r="35" spans="1:9" ht="12.75">
      <c r="A35" s="14"/>
      <c r="B35" s="21" t="s">
        <v>107</v>
      </c>
      <c r="C35" s="27">
        <v>40000</v>
      </c>
      <c r="D35" s="17"/>
      <c r="E35" s="17"/>
      <c r="F35" s="27"/>
      <c r="G35" s="160"/>
      <c r="H35" s="160"/>
      <c r="I35" s="121"/>
    </row>
    <row r="36" spans="1:9" ht="12.75">
      <c r="A36" s="14"/>
      <c r="B36" s="21" t="s">
        <v>108</v>
      </c>
      <c r="C36" s="71"/>
      <c r="D36" s="75"/>
      <c r="E36" s="75"/>
      <c r="F36" s="71"/>
      <c r="G36" s="303"/>
      <c r="H36" s="303"/>
      <c r="I36" s="141"/>
    </row>
    <row r="37" spans="1:11" ht="13.5" thickBot="1">
      <c r="A37" s="14"/>
      <c r="B37" s="21" t="s">
        <v>109</v>
      </c>
      <c r="C37" s="71">
        <v>0</v>
      </c>
      <c r="D37" s="75"/>
      <c r="E37" s="75"/>
      <c r="F37" s="71"/>
      <c r="G37" s="71"/>
      <c r="H37" s="71"/>
      <c r="I37" s="141"/>
      <c r="J37" s="40"/>
      <c r="K37" s="40"/>
    </row>
    <row r="38" spans="1:9" ht="13.5" thickBot="1">
      <c r="A38" s="78" t="s">
        <v>463</v>
      </c>
      <c r="B38" s="82" t="s">
        <v>426</v>
      </c>
      <c r="C38" s="86">
        <f>SUM(C39:C43)</f>
        <v>12261</v>
      </c>
      <c r="D38" s="86">
        <f>SUM(D39:D43)</f>
        <v>0</v>
      </c>
      <c r="E38" s="86">
        <f>SUM(E39:E43)</f>
        <v>0</v>
      </c>
      <c r="F38" s="86">
        <f>SUM(F39:F45)</f>
        <v>15407</v>
      </c>
      <c r="G38" s="86">
        <f>SUM(G39:G45)</f>
        <v>15407</v>
      </c>
      <c r="H38" s="86">
        <f>SUM(H39:H45)</f>
        <v>13076</v>
      </c>
      <c r="I38" s="81">
        <f>+H38/G38</f>
        <v>0.8487051340299864</v>
      </c>
    </row>
    <row r="39" spans="1:9" ht="13.5" thickTop="1">
      <c r="A39" s="88"/>
      <c r="B39" s="89" t="s">
        <v>525</v>
      </c>
      <c r="C39" s="23">
        <v>10889</v>
      </c>
      <c r="D39" s="87"/>
      <c r="E39" s="87"/>
      <c r="F39" s="23">
        <v>12218</v>
      </c>
      <c r="G39" s="132">
        <v>12218</v>
      </c>
      <c r="H39" s="132">
        <v>12745</v>
      </c>
      <c r="I39" s="117">
        <f>+H39/G39</f>
        <v>1.0431330823375349</v>
      </c>
    </row>
    <row r="40" spans="1:9" ht="12.75">
      <c r="A40" s="24"/>
      <c r="B40" s="20" t="s">
        <v>150</v>
      </c>
      <c r="C40" s="29"/>
      <c r="D40" s="27"/>
      <c r="E40" s="27"/>
      <c r="F40" s="29"/>
      <c r="G40" s="110"/>
      <c r="H40" s="110"/>
      <c r="I40" s="120"/>
    </row>
    <row r="41" spans="1:9" ht="12.75">
      <c r="A41" s="24"/>
      <c r="B41" s="20" t="s">
        <v>462</v>
      </c>
      <c r="C41" s="29">
        <v>566</v>
      </c>
      <c r="D41" s="27"/>
      <c r="E41" s="27"/>
      <c r="F41" s="29"/>
      <c r="G41" s="110"/>
      <c r="H41" s="110"/>
      <c r="I41" s="120"/>
    </row>
    <row r="42" spans="1:9" ht="12.75">
      <c r="A42" s="25"/>
      <c r="B42" s="20" t="s">
        <v>526</v>
      </c>
      <c r="C42" s="27">
        <v>806</v>
      </c>
      <c r="D42" s="17"/>
      <c r="E42" s="17"/>
      <c r="F42" s="27">
        <v>3189</v>
      </c>
      <c r="G42" s="160">
        <v>3189</v>
      </c>
      <c r="H42" s="160">
        <v>331</v>
      </c>
      <c r="I42" s="121">
        <f>+H42/G42</f>
        <v>0.10379429288178112</v>
      </c>
    </row>
    <row r="43" spans="1:9" ht="12.75">
      <c r="A43" s="14"/>
      <c r="B43" s="21" t="s">
        <v>97</v>
      </c>
      <c r="C43" s="17"/>
      <c r="D43" s="17"/>
      <c r="E43" s="17"/>
      <c r="F43" s="17"/>
      <c r="G43" s="161"/>
      <c r="H43" s="161"/>
      <c r="I43" s="119"/>
    </row>
    <row r="44" spans="1:9" ht="12.75">
      <c r="A44" s="22"/>
      <c r="B44" s="20" t="s">
        <v>152</v>
      </c>
      <c r="C44" s="33"/>
      <c r="D44" s="33"/>
      <c r="E44" s="33"/>
      <c r="F44" s="33"/>
      <c r="G44" s="76"/>
      <c r="H44" s="76"/>
      <c r="I44" s="122"/>
    </row>
    <row r="45" spans="1:9" ht="13.5" thickBot="1">
      <c r="A45" s="22"/>
      <c r="B45" s="154"/>
      <c r="C45" s="155"/>
      <c r="D45" s="155"/>
      <c r="E45" s="155"/>
      <c r="F45" s="155"/>
      <c r="G45" s="162"/>
      <c r="H45" s="162"/>
      <c r="I45" s="156"/>
    </row>
    <row r="46" spans="1:9" ht="13.5" thickBot="1">
      <c r="A46" s="30" t="s">
        <v>464</v>
      </c>
      <c r="B46" s="90" t="s">
        <v>465</v>
      </c>
      <c r="C46" s="31">
        <v>34427</v>
      </c>
      <c r="D46" s="31"/>
      <c r="E46" s="31"/>
      <c r="F46" s="31">
        <v>10000</v>
      </c>
      <c r="G46" s="31"/>
      <c r="H46" s="31"/>
      <c r="I46" s="124"/>
    </row>
    <row r="47" spans="1:9" ht="13.5" thickBot="1">
      <c r="A47" s="30" t="s">
        <v>466</v>
      </c>
      <c r="B47" s="91" t="s">
        <v>527</v>
      </c>
      <c r="C47" s="92"/>
      <c r="D47" s="92"/>
      <c r="E47" s="92"/>
      <c r="F47" s="31"/>
      <c r="G47" s="31"/>
      <c r="H47" s="31"/>
      <c r="I47" s="93"/>
    </row>
    <row r="48" spans="1:9" ht="13.5" thickBot="1">
      <c r="A48" s="94" t="s">
        <v>447</v>
      </c>
      <c r="B48" s="32" t="s">
        <v>467</v>
      </c>
      <c r="C48" s="95">
        <f aca="true" t="shared" si="5" ref="C48:H48">C5+C11+C17+C21+C29+C38+C46+C47</f>
        <v>816115.84</v>
      </c>
      <c r="D48" s="95">
        <f t="shared" si="5"/>
        <v>10952</v>
      </c>
      <c r="E48" s="95">
        <f t="shared" si="5"/>
        <v>21863</v>
      </c>
      <c r="F48" s="95">
        <f t="shared" si="5"/>
        <v>1199659</v>
      </c>
      <c r="G48" s="95">
        <f t="shared" si="5"/>
        <v>1299448</v>
      </c>
      <c r="H48" s="95">
        <f t="shared" si="5"/>
        <v>1016044</v>
      </c>
      <c r="I48" s="96">
        <f>+H48/G48</f>
        <v>0.7819043162943035</v>
      </c>
    </row>
    <row r="49" spans="1:9" ht="17.25" customHeight="1">
      <c r="A49" s="24" t="s">
        <v>468</v>
      </c>
      <c r="B49" s="34" t="s">
        <v>469</v>
      </c>
      <c r="C49" s="33"/>
      <c r="D49" s="67"/>
      <c r="E49" s="67"/>
      <c r="F49" s="33"/>
      <c r="G49" s="33"/>
      <c r="H49" s="33"/>
      <c r="I49" s="123"/>
    </row>
    <row r="50" spans="1:9" ht="12.75">
      <c r="A50" s="24" t="s">
        <v>449</v>
      </c>
      <c r="B50" s="34" t="s">
        <v>528</v>
      </c>
      <c r="C50" s="73">
        <v>328284</v>
      </c>
      <c r="D50" s="68"/>
      <c r="E50" s="68"/>
      <c r="F50" s="73"/>
      <c r="G50" s="134"/>
      <c r="H50" s="134"/>
      <c r="I50" s="142"/>
    </row>
    <row r="51" spans="1:9" ht="12.75">
      <c r="A51" s="25" t="s">
        <v>455</v>
      </c>
      <c r="B51" s="7" t="s">
        <v>9</v>
      </c>
      <c r="C51" s="46">
        <v>57222</v>
      </c>
      <c r="D51" s="69"/>
      <c r="E51" s="69"/>
      <c r="F51" s="46"/>
      <c r="G51" s="46"/>
      <c r="H51" s="109"/>
      <c r="I51" s="143"/>
    </row>
    <row r="52" spans="1:9" ht="12.75">
      <c r="A52" s="14" t="s">
        <v>457</v>
      </c>
      <c r="B52" s="35" t="s">
        <v>249</v>
      </c>
      <c r="C52" s="47">
        <f>SUM(C53:C57)</f>
        <v>444002</v>
      </c>
      <c r="D52" s="47">
        <f>SUM(D53:D57)</f>
        <v>0</v>
      </c>
      <c r="E52" s="47">
        <f>SUM(E53:E57)</f>
        <v>0</v>
      </c>
      <c r="F52" s="47">
        <v>628260</v>
      </c>
      <c r="G52" s="47">
        <v>559247</v>
      </c>
      <c r="H52" s="47">
        <v>195684</v>
      </c>
      <c r="I52" s="125">
        <f>+H52/G52</f>
        <v>0.3499062131759312</v>
      </c>
    </row>
    <row r="53" spans="1:9" ht="12.75">
      <c r="A53" s="14"/>
      <c r="B53" s="97" t="s">
        <v>529</v>
      </c>
      <c r="C53" s="76">
        <v>200</v>
      </c>
      <c r="D53" s="67"/>
      <c r="E53" s="70"/>
      <c r="F53" s="76"/>
      <c r="G53" s="76"/>
      <c r="H53" s="76"/>
      <c r="I53" s="144"/>
    </row>
    <row r="54" spans="1:9" ht="12.75">
      <c r="A54" s="14"/>
      <c r="B54" s="97" t="s">
        <v>215</v>
      </c>
      <c r="C54" s="76"/>
      <c r="D54" s="67"/>
      <c r="E54" s="70"/>
      <c r="F54" s="76"/>
      <c r="G54" s="76"/>
      <c r="H54" s="76"/>
      <c r="I54" s="144"/>
    </row>
    <row r="55" spans="1:9" ht="12.75">
      <c r="A55" s="14"/>
      <c r="B55" s="97" t="s">
        <v>530</v>
      </c>
      <c r="C55" s="76">
        <v>3000</v>
      </c>
      <c r="D55" s="67"/>
      <c r="E55" s="70"/>
      <c r="F55" s="76"/>
      <c r="G55" s="76"/>
      <c r="H55" s="76"/>
      <c r="I55" s="144"/>
    </row>
    <row r="56" spans="1:9" ht="12.75">
      <c r="A56" s="14"/>
      <c r="B56" s="97" t="s">
        <v>531</v>
      </c>
      <c r="C56" s="76">
        <v>15000</v>
      </c>
      <c r="D56" s="67"/>
      <c r="E56" s="70"/>
      <c r="F56" s="76">
        <v>3200</v>
      </c>
      <c r="G56" s="76">
        <v>2000</v>
      </c>
      <c r="H56" s="76">
        <v>3762</v>
      </c>
      <c r="I56" s="144"/>
    </row>
    <row r="57" spans="1:9" ht="12.75">
      <c r="A57" s="14"/>
      <c r="B57" s="97" t="s">
        <v>532</v>
      </c>
      <c r="C57" s="76">
        <v>425802</v>
      </c>
      <c r="D57" s="67"/>
      <c r="E57" s="70"/>
      <c r="F57" s="76">
        <v>625060</v>
      </c>
      <c r="G57" s="76">
        <v>557247</v>
      </c>
      <c r="H57" s="76">
        <v>191922</v>
      </c>
      <c r="I57" s="144">
        <f>+H57/G57</f>
        <v>0.34441100625037013</v>
      </c>
    </row>
    <row r="58" spans="1:9" ht="12.75">
      <c r="A58" s="14" t="s">
        <v>460</v>
      </c>
      <c r="B58" s="97" t="s">
        <v>470</v>
      </c>
      <c r="C58" s="76">
        <v>35000</v>
      </c>
      <c r="D58" s="67"/>
      <c r="E58" s="70"/>
      <c r="F58" s="76"/>
      <c r="G58" s="76"/>
      <c r="H58" s="76"/>
      <c r="I58" s="144"/>
    </row>
    <row r="59" spans="1:9" ht="12.75">
      <c r="A59" s="14" t="s">
        <v>463</v>
      </c>
      <c r="B59" s="97" t="s">
        <v>533</v>
      </c>
      <c r="C59" s="76">
        <f>SUM(C60:C64)</f>
        <v>399478</v>
      </c>
      <c r="D59" s="67">
        <f>SUM(D60:D64)</f>
        <v>0</v>
      </c>
      <c r="E59" s="70">
        <f>SUM(E60:E64)</f>
        <v>0</v>
      </c>
      <c r="F59" s="76"/>
      <c r="G59" s="76"/>
      <c r="H59" s="76"/>
      <c r="I59" s="144"/>
    </row>
    <row r="60" spans="1:9" ht="12.75">
      <c r="A60" s="14"/>
      <c r="B60" s="97" t="s">
        <v>471</v>
      </c>
      <c r="C60" s="76"/>
      <c r="D60" s="67"/>
      <c r="E60" s="70"/>
      <c r="F60" s="76"/>
      <c r="G60" s="76"/>
      <c r="H60" s="76"/>
      <c r="I60" s="144"/>
    </row>
    <row r="61" spans="1:9" ht="12.75">
      <c r="A61" s="14"/>
      <c r="B61" s="97" t="s">
        <v>513</v>
      </c>
      <c r="C61" s="76">
        <v>30147</v>
      </c>
      <c r="D61" s="67"/>
      <c r="E61" s="70"/>
      <c r="F61" s="76"/>
      <c r="G61" s="76"/>
      <c r="H61" s="76"/>
      <c r="I61" s="144"/>
    </row>
    <row r="62" spans="1:9" ht="12.75">
      <c r="A62" s="14"/>
      <c r="B62" s="97" t="s">
        <v>472</v>
      </c>
      <c r="C62" s="76">
        <v>12000</v>
      </c>
      <c r="D62" s="67"/>
      <c r="E62" s="70"/>
      <c r="F62" s="76"/>
      <c r="G62" s="76"/>
      <c r="H62" s="76"/>
      <c r="I62" s="144"/>
    </row>
    <row r="63" spans="1:9" ht="12.75">
      <c r="A63" s="14"/>
      <c r="B63" s="97" t="s">
        <v>509</v>
      </c>
      <c r="C63" s="76">
        <v>35000</v>
      </c>
      <c r="D63" s="67"/>
      <c r="E63" s="70"/>
      <c r="F63" s="76"/>
      <c r="G63" s="76">
        <v>0</v>
      </c>
      <c r="H63" s="76"/>
      <c r="I63" s="144"/>
    </row>
    <row r="64" spans="1:9" ht="13.5" thickBot="1">
      <c r="A64" s="14"/>
      <c r="B64" s="97" t="s">
        <v>510</v>
      </c>
      <c r="C64" s="76">
        <v>322331</v>
      </c>
      <c r="D64" s="67"/>
      <c r="E64" s="70"/>
      <c r="F64" s="76"/>
      <c r="G64" s="76">
        <v>0</v>
      </c>
      <c r="H64" s="76"/>
      <c r="I64" s="144"/>
    </row>
    <row r="65" spans="1:9" ht="13.5" thickBot="1">
      <c r="A65" s="94" t="s">
        <v>468</v>
      </c>
      <c r="B65" s="32" t="s">
        <v>534</v>
      </c>
      <c r="C65" s="95">
        <f aca="true" t="shared" si="6" ref="C65:H65">C50+C51+C52+C59+C58</f>
        <v>1263986</v>
      </c>
      <c r="D65" s="95">
        <f t="shared" si="6"/>
        <v>0</v>
      </c>
      <c r="E65" s="95">
        <f t="shared" si="6"/>
        <v>0</v>
      </c>
      <c r="F65" s="95">
        <f t="shared" si="6"/>
        <v>628260</v>
      </c>
      <c r="G65" s="95">
        <f t="shared" si="6"/>
        <v>559247</v>
      </c>
      <c r="H65" s="95">
        <f t="shared" si="6"/>
        <v>195684</v>
      </c>
      <c r="I65" s="96">
        <f>+H65/G65</f>
        <v>0.3499062131759312</v>
      </c>
    </row>
    <row r="66" spans="1:9" ht="12.75">
      <c r="A66" s="98" t="s">
        <v>473</v>
      </c>
      <c r="B66" s="99" t="s">
        <v>535</v>
      </c>
      <c r="C66" s="100"/>
      <c r="D66" s="100"/>
      <c r="E66" s="100"/>
      <c r="F66" s="100"/>
      <c r="G66" s="100"/>
      <c r="H66" s="100"/>
      <c r="I66" s="126"/>
    </row>
    <row r="67" spans="1:9" ht="13.5" thickBot="1">
      <c r="A67" s="37" t="s">
        <v>474</v>
      </c>
      <c r="B67" s="38" t="s">
        <v>536</v>
      </c>
      <c r="C67" s="39">
        <f aca="true" t="shared" si="7" ref="C67:H67">C48+C65+C66</f>
        <v>2080101.8399999999</v>
      </c>
      <c r="D67" s="39">
        <f t="shared" si="7"/>
        <v>10952</v>
      </c>
      <c r="E67" s="39">
        <f t="shared" si="7"/>
        <v>21863</v>
      </c>
      <c r="F67" s="39">
        <f t="shared" si="7"/>
        <v>1827919</v>
      </c>
      <c r="G67" s="39">
        <f t="shared" si="7"/>
        <v>1858695</v>
      </c>
      <c r="H67" s="39">
        <f t="shared" si="7"/>
        <v>1211728</v>
      </c>
      <c r="I67" s="127">
        <f>+H67/G67</f>
        <v>0.6519240650025959</v>
      </c>
    </row>
    <row r="68" ht="12.75">
      <c r="H68" s="40"/>
    </row>
    <row r="69" ht="12.75">
      <c r="F69" s="40"/>
    </row>
  </sheetData>
  <sheetProtection/>
  <mergeCells count="1">
    <mergeCell ref="C1:E1"/>
  </mergeCells>
  <printOptions horizontalCentered="1"/>
  <pageMargins left="0.35433070866141736" right="0.1968503937007874" top="0.7480314960629921" bottom="0.11811023622047245" header="0.15748031496062992" footer="0.15748031496062992"/>
  <pageSetup fitToHeight="2" horizontalDpi="600" verticalDpi="600" orientation="landscape" paperSize="9" scale="58" r:id="rId3"/>
  <headerFooter>
    <oddHeader>&amp;C&amp;"Arial,Félkövér"&amp;12Nagykovácsi Nagyközség
Önkormányzatának
2013. évi bevételei kiemelt előirányzatonként
&amp;Radatok ezer forintban</oddHeader>
    <oddFooter>&amp;L&amp;8 
&amp;D
&amp;C
&amp;P&amp;R
&amp;F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R25"/>
  <sheetViews>
    <sheetView zoomScalePageLayoutView="0" workbookViewId="0" topLeftCell="A1">
      <pane xSplit="2" ySplit="3" topLeftCell="C4" activePane="bottomRight" state="frozen"/>
      <selection pane="topLeft" activeCell="S44" sqref="S44"/>
      <selection pane="topRight" activeCell="S44" sqref="S44"/>
      <selection pane="bottomLeft" activeCell="S44" sqref="S44"/>
      <selection pane="bottomRight" activeCell="P10" sqref="P10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9.140625" style="3" customWidth="1"/>
    <col min="5" max="5" width="13.7109375" style="356" bestFit="1" customWidth="1"/>
    <col min="6" max="6" width="13.7109375" style="356" hidden="1" customWidth="1"/>
    <col min="7" max="7" width="20.00390625" style="129" hidden="1" customWidth="1"/>
    <col min="8" max="8" width="9.140625" style="3" hidden="1" customWidth="1"/>
    <col min="9" max="9" width="13.7109375" style="356" hidden="1" customWidth="1"/>
    <col min="10" max="10" width="9.140625" style="3" hidden="1" customWidth="1"/>
    <col min="11" max="11" width="13.7109375" style="356" hidden="1" customWidth="1"/>
    <col min="12" max="12" width="9.140625" style="3" hidden="1" customWidth="1"/>
    <col min="13" max="13" width="13.7109375" style="356" hidden="1" customWidth="1"/>
    <col min="14" max="14" width="9.140625" style="3" hidden="1" customWidth="1"/>
    <col min="15" max="16" width="13.7109375" style="356" customWidth="1"/>
    <col min="17" max="17" width="13.7109375" style="129" customWidth="1"/>
    <col min="18" max="16384" width="9.140625" style="3" customWidth="1"/>
  </cols>
  <sheetData>
    <row r="1" ht="13.5" thickBot="1"/>
    <row r="2" spans="1:17" s="147" customFormat="1" ht="26.25" customHeight="1" thickBot="1">
      <c r="A2" s="434"/>
      <c r="B2" s="435"/>
      <c r="C2" s="877" t="s">
        <v>138</v>
      </c>
      <c r="D2" s="878"/>
      <c r="E2" s="879"/>
      <c r="F2" s="432"/>
      <c r="G2" s="440"/>
      <c r="H2" s="432"/>
      <c r="I2" s="441"/>
      <c r="J2" s="432"/>
      <c r="K2" s="441"/>
      <c r="L2" s="432"/>
      <c r="M2" s="441"/>
      <c r="N2" s="432"/>
      <c r="O2" s="441"/>
      <c r="P2" s="441" t="s">
        <v>144</v>
      </c>
      <c r="Q2" s="440"/>
    </row>
    <row r="3" spans="1:17" ht="50.25" customHeight="1" thickBot="1">
      <c r="A3" s="442" t="s">
        <v>436</v>
      </c>
      <c r="B3" s="443" t="s">
        <v>431</v>
      </c>
      <c r="C3" s="444" t="s">
        <v>117</v>
      </c>
      <c r="D3" s="444" t="s">
        <v>118</v>
      </c>
      <c r="E3" s="444" t="s">
        <v>119</v>
      </c>
      <c r="F3" s="444" t="s">
        <v>212</v>
      </c>
      <c r="G3" s="440" t="s">
        <v>120</v>
      </c>
      <c r="H3" s="444" t="s">
        <v>121</v>
      </c>
      <c r="I3" s="444" t="s">
        <v>122</v>
      </c>
      <c r="J3" s="444" t="s">
        <v>123</v>
      </c>
      <c r="K3" s="444" t="s">
        <v>124</v>
      </c>
      <c r="L3" s="444" t="s">
        <v>125</v>
      </c>
      <c r="M3" s="444" t="s">
        <v>126</v>
      </c>
      <c r="N3" s="444" t="s">
        <v>127</v>
      </c>
      <c r="O3" s="444" t="s">
        <v>139</v>
      </c>
      <c r="P3" s="444" t="s">
        <v>140</v>
      </c>
      <c r="Q3" s="440" t="s">
        <v>446</v>
      </c>
    </row>
    <row r="4" spans="1:17" ht="12.75">
      <c r="A4" s="445"/>
      <c r="B4" s="446" t="s">
        <v>441</v>
      </c>
      <c r="C4" s="447"/>
      <c r="D4" s="447"/>
      <c r="E4" s="447"/>
      <c r="F4" s="447"/>
      <c r="G4" s="448"/>
      <c r="H4" s="447"/>
      <c r="I4" s="447"/>
      <c r="J4" s="447"/>
      <c r="K4" s="447">
        <f aca="true" t="shared" si="0" ref="K4:K19">+I4+J4</f>
        <v>0</v>
      </c>
      <c r="L4" s="447"/>
      <c r="M4" s="447">
        <f aca="true" t="shared" si="1" ref="M4:M19">+K4+L4</f>
        <v>0</v>
      </c>
      <c r="N4" s="447"/>
      <c r="O4" s="447"/>
      <c r="P4" s="447"/>
      <c r="Q4" s="448"/>
    </row>
    <row r="5" spans="1:17" ht="12.75">
      <c r="A5" s="445">
        <v>1</v>
      </c>
      <c r="B5" s="449" t="s">
        <v>128</v>
      </c>
      <c r="C5" s="450">
        <v>38400</v>
      </c>
      <c r="D5" s="450">
        <f>+C5*0.27</f>
        <v>10368</v>
      </c>
      <c r="E5" s="450">
        <f>+C5+D5</f>
        <v>48768</v>
      </c>
      <c r="F5" s="450"/>
      <c r="G5" s="451">
        <f aca="true" t="shared" si="2" ref="G5:G11">+F5/C5</f>
        <v>0</v>
      </c>
      <c r="H5" s="450"/>
      <c r="I5" s="450">
        <f aca="true" t="shared" si="3" ref="I5:I19">+E5+H5</f>
        <v>48768</v>
      </c>
      <c r="J5" s="450"/>
      <c r="K5" s="450">
        <f t="shared" si="0"/>
        <v>48768</v>
      </c>
      <c r="L5" s="450"/>
      <c r="M5" s="450">
        <f t="shared" si="1"/>
        <v>48768</v>
      </c>
      <c r="N5" s="450">
        <v>-48768</v>
      </c>
      <c r="O5" s="450">
        <f aca="true" t="shared" si="4" ref="O5:O23">+M5+N5</f>
        <v>0</v>
      </c>
      <c r="P5" s="450"/>
      <c r="Q5" s="451"/>
    </row>
    <row r="6" spans="1:17" ht="12.75">
      <c r="A6" s="445">
        <v>2</v>
      </c>
      <c r="B6" s="449" t="s">
        <v>129</v>
      </c>
      <c r="C6" s="452">
        <v>59800</v>
      </c>
      <c r="D6" s="450">
        <f>+C6*0.27</f>
        <v>16146.000000000002</v>
      </c>
      <c r="E6" s="450">
        <f>+C6+D6</f>
        <v>75946</v>
      </c>
      <c r="F6" s="450"/>
      <c r="G6" s="451">
        <f t="shared" si="2"/>
        <v>0</v>
      </c>
      <c r="H6" s="450"/>
      <c r="I6" s="450">
        <f t="shared" si="3"/>
        <v>75946</v>
      </c>
      <c r="J6" s="450"/>
      <c r="K6" s="450">
        <f t="shared" si="0"/>
        <v>75946</v>
      </c>
      <c r="L6" s="450"/>
      <c r="M6" s="450">
        <f t="shared" si="1"/>
        <v>75946</v>
      </c>
      <c r="N6" s="450">
        <v>-75946</v>
      </c>
      <c r="O6" s="450">
        <f t="shared" si="4"/>
        <v>0</v>
      </c>
      <c r="P6" s="450"/>
      <c r="Q6" s="451"/>
    </row>
    <row r="7" spans="1:17" ht="12.75">
      <c r="A7" s="445">
        <v>3</v>
      </c>
      <c r="B7" s="453" t="s">
        <v>502</v>
      </c>
      <c r="C7" s="454">
        <v>31285</v>
      </c>
      <c r="D7" s="450">
        <f>+C7*0.27</f>
        <v>8446.95</v>
      </c>
      <c r="E7" s="450">
        <f>+C7+D7</f>
        <v>39731.95</v>
      </c>
      <c r="F7" s="450"/>
      <c r="G7" s="451">
        <f t="shared" si="2"/>
        <v>0</v>
      </c>
      <c r="H7" s="450"/>
      <c r="I7" s="450">
        <f t="shared" si="3"/>
        <v>39731.95</v>
      </c>
      <c r="J7" s="450"/>
      <c r="K7" s="450">
        <f t="shared" si="0"/>
        <v>39731.95</v>
      </c>
      <c r="L7" s="450"/>
      <c r="M7" s="450">
        <f t="shared" si="1"/>
        <v>39731.95</v>
      </c>
      <c r="N7" s="450">
        <v>-39732</v>
      </c>
      <c r="O7" s="450">
        <f t="shared" si="4"/>
        <v>-0.05000000000291038</v>
      </c>
      <c r="P7" s="450"/>
      <c r="Q7" s="451"/>
    </row>
    <row r="8" spans="1:18" ht="12.75">
      <c r="A8" s="445">
        <v>4</v>
      </c>
      <c r="B8" s="455" t="s">
        <v>442</v>
      </c>
      <c r="C8" s="450">
        <f>10000+452</f>
        <v>10452</v>
      </c>
      <c r="D8" s="450">
        <f>+C8*0.27</f>
        <v>2822.04</v>
      </c>
      <c r="E8" s="450">
        <f>+C8+D8</f>
        <v>13274.04</v>
      </c>
      <c r="F8" s="450">
        <v>575</v>
      </c>
      <c r="G8" s="451">
        <f t="shared" si="2"/>
        <v>0.055013394565633374</v>
      </c>
      <c r="H8" s="450"/>
      <c r="I8" s="450">
        <f t="shared" si="3"/>
        <v>13274.04</v>
      </c>
      <c r="J8" s="450">
        <v>-4000</v>
      </c>
      <c r="K8" s="450">
        <f t="shared" si="0"/>
        <v>9274.04</v>
      </c>
      <c r="L8" s="450">
        <v>-2595</v>
      </c>
      <c r="M8" s="450">
        <f t="shared" si="1"/>
        <v>6679.040000000001</v>
      </c>
      <c r="N8" s="450">
        <v>100</v>
      </c>
      <c r="O8" s="450">
        <f t="shared" si="4"/>
        <v>6779.040000000001</v>
      </c>
      <c r="P8" s="450">
        <f>7387-800</f>
        <v>6587</v>
      </c>
      <c r="Q8" s="451">
        <f aca="true" t="shared" si="5" ref="Q8:Q25">+P8/O8</f>
        <v>0.9716715051098679</v>
      </c>
      <c r="R8" s="130"/>
    </row>
    <row r="9" spans="1:17" ht="12.75">
      <c r="A9" s="445">
        <v>5</v>
      </c>
      <c r="B9" s="456" t="s">
        <v>116</v>
      </c>
      <c r="C9" s="450">
        <v>10000</v>
      </c>
      <c r="D9" s="450">
        <f>+C9*0.27</f>
        <v>2700</v>
      </c>
      <c r="E9" s="450">
        <f>+C9+D9</f>
        <v>12700</v>
      </c>
      <c r="F9" s="450"/>
      <c r="G9" s="451">
        <f t="shared" si="2"/>
        <v>0</v>
      </c>
      <c r="H9" s="450"/>
      <c r="I9" s="450">
        <f t="shared" si="3"/>
        <v>12700</v>
      </c>
      <c r="J9" s="450"/>
      <c r="K9" s="450">
        <f t="shared" si="0"/>
        <v>12700</v>
      </c>
      <c r="L9" s="450"/>
      <c r="M9" s="450">
        <f t="shared" si="1"/>
        <v>12700</v>
      </c>
      <c r="N9" s="450">
        <v>-12700</v>
      </c>
      <c r="O9" s="450">
        <f t="shared" si="4"/>
        <v>0</v>
      </c>
      <c r="P9" s="450"/>
      <c r="Q9" s="451"/>
    </row>
    <row r="10" spans="1:17" ht="12.75">
      <c r="A10" s="457">
        <v>8</v>
      </c>
      <c r="B10" s="458" t="s">
        <v>503</v>
      </c>
      <c r="C10" s="459">
        <f>SUM(C5:C9)</f>
        <v>149937</v>
      </c>
      <c r="D10" s="459">
        <f>SUM(D5:D9)</f>
        <v>40482.99</v>
      </c>
      <c r="E10" s="459">
        <f>SUM(E5:E9)</f>
        <v>190419.99000000002</v>
      </c>
      <c r="F10" s="459">
        <f>SUM(F5:F9)</f>
        <v>575</v>
      </c>
      <c r="G10" s="460">
        <f t="shared" si="2"/>
        <v>0.0038349440098174566</v>
      </c>
      <c r="H10" s="459">
        <f>SUM(H5:H9)</f>
        <v>0</v>
      </c>
      <c r="I10" s="459">
        <f t="shared" si="3"/>
        <v>190419.99000000002</v>
      </c>
      <c r="J10" s="459">
        <f>SUM(J5:J9)</f>
        <v>-4000</v>
      </c>
      <c r="K10" s="459">
        <f t="shared" si="0"/>
        <v>186419.99000000002</v>
      </c>
      <c r="L10" s="459">
        <f>SUM(L5:L9)</f>
        <v>-2595</v>
      </c>
      <c r="M10" s="459">
        <f t="shared" si="1"/>
        <v>183824.99000000002</v>
      </c>
      <c r="N10" s="459">
        <f>SUM(N5:N9)</f>
        <v>-177046</v>
      </c>
      <c r="O10" s="459">
        <f t="shared" si="4"/>
        <v>6778.99000000002</v>
      </c>
      <c r="P10" s="459">
        <f>SUM(P5:P9)</f>
        <v>6587</v>
      </c>
      <c r="Q10" s="460">
        <f t="shared" si="5"/>
        <v>0.9716786718965481</v>
      </c>
    </row>
    <row r="11" spans="1:17" ht="12.75">
      <c r="A11" s="457">
        <v>9</v>
      </c>
      <c r="B11" s="458" t="s">
        <v>438</v>
      </c>
      <c r="C11" s="459">
        <f>48896+11445</f>
        <v>60341</v>
      </c>
      <c r="D11" s="459">
        <f>48896*0.27+11444*0.25</f>
        <v>16062.92</v>
      </c>
      <c r="E11" s="459">
        <f>+C11+D11</f>
        <v>76403.92</v>
      </c>
      <c r="F11" s="459">
        <v>28611</v>
      </c>
      <c r="G11" s="460">
        <f t="shared" si="2"/>
        <v>0.47415521784524617</v>
      </c>
      <c r="H11" s="459">
        <v>28039</v>
      </c>
      <c r="I11" s="459">
        <f t="shared" si="3"/>
        <v>104442.92</v>
      </c>
      <c r="J11" s="459"/>
      <c r="K11" s="459">
        <f t="shared" si="0"/>
        <v>104442.92</v>
      </c>
      <c r="L11" s="459"/>
      <c r="M11" s="459">
        <f t="shared" si="1"/>
        <v>104442.92</v>
      </c>
      <c r="N11" s="459">
        <f>-28039-11445-3090</f>
        <v>-42574</v>
      </c>
      <c r="O11" s="459">
        <f t="shared" si="4"/>
        <v>61868.92</v>
      </c>
      <c r="P11" s="459">
        <f>45778*1.27</f>
        <v>58138.06</v>
      </c>
      <c r="Q11" s="460">
        <f t="shared" si="5"/>
        <v>0.939697347230241</v>
      </c>
    </row>
    <row r="12" spans="1:17" s="8" customFormat="1" ht="12.75">
      <c r="A12" s="445"/>
      <c r="B12" s="461" t="s">
        <v>443</v>
      </c>
      <c r="C12" s="462"/>
      <c r="D12" s="462"/>
      <c r="E12" s="462"/>
      <c r="F12" s="462"/>
      <c r="G12" s="463"/>
      <c r="H12" s="462"/>
      <c r="I12" s="450">
        <f t="shared" si="3"/>
        <v>0</v>
      </c>
      <c r="J12" s="462"/>
      <c r="K12" s="450">
        <f t="shared" si="0"/>
        <v>0</v>
      </c>
      <c r="L12" s="462"/>
      <c r="M12" s="450">
        <f t="shared" si="1"/>
        <v>0</v>
      </c>
      <c r="N12" s="462"/>
      <c r="O12" s="450">
        <f t="shared" si="4"/>
        <v>0</v>
      </c>
      <c r="P12" s="450"/>
      <c r="Q12" s="451"/>
    </row>
    <row r="13" spans="1:17" s="8" customFormat="1" ht="12.75">
      <c r="A13" s="445">
        <v>10</v>
      </c>
      <c r="B13" s="464" t="s">
        <v>423</v>
      </c>
      <c r="C13" s="465">
        <v>4500</v>
      </c>
      <c r="D13" s="465"/>
      <c r="E13" s="465">
        <f aca="true" t="shared" si="6" ref="E13:E18">+C13</f>
        <v>4500</v>
      </c>
      <c r="F13" s="465">
        <f>1710+171</f>
        <v>1881</v>
      </c>
      <c r="G13" s="466">
        <f>+F13/C13</f>
        <v>0.418</v>
      </c>
      <c r="H13" s="465"/>
      <c r="I13" s="450">
        <f t="shared" si="3"/>
        <v>4500</v>
      </c>
      <c r="J13" s="465"/>
      <c r="K13" s="450">
        <f t="shared" si="0"/>
        <v>4500</v>
      </c>
      <c r="L13" s="465"/>
      <c r="M13" s="450">
        <f t="shared" si="1"/>
        <v>4500</v>
      </c>
      <c r="N13" s="465">
        <v>-1743</v>
      </c>
      <c r="O13" s="450">
        <f t="shared" si="4"/>
        <v>2757</v>
      </c>
      <c r="P13" s="450">
        <v>3786</v>
      </c>
      <c r="Q13" s="451">
        <f t="shared" si="5"/>
        <v>1.3732317736670294</v>
      </c>
    </row>
    <row r="14" spans="1:17" s="8" customFormat="1" ht="12.75" customHeight="1" hidden="1">
      <c r="A14" s="445"/>
      <c r="B14" s="467" t="s">
        <v>134</v>
      </c>
      <c r="C14" s="465"/>
      <c r="D14" s="465"/>
      <c r="E14" s="465">
        <f t="shared" si="6"/>
        <v>0</v>
      </c>
      <c r="F14" s="465"/>
      <c r="G14" s="466" t="e">
        <f>+F14/C14</f>
        <v>#DIV/0!</v>
      </c>
      <c r="H14" s="465"/>
      <c r="I14" s="450">
        <f t="shared" si="3"/>
        <v>0</v>
      </c>
      <c r="J14" s="465"/>
      <c r="K14" s="450">
        <f t="shared" si="0"/>
        <v>0</v>
      </c>
      <c r="L14" s="465"/>
      <c r="M14" s="450">
        <f t="shared" si="1"/>
        <v>0</v>
      </c>
      <c r="N14" s="465"/>
      <c r="O14" s="450">
        <f t="shared" si="4"/>
        <v>0</v>
      </c>
      <c r="P14" s="450"/>
      <c r="Q14" s="451" t="e">
        <f t="shared" si="5"/>
        <v>#DIV/0!</v>
      </c>
    </row>
    <row r="15" spans="1:17" ht="12.75">
      <c r="A15" s="445">
        <v>11</v>
      </c>
      <c r="B15" s="467" t="s">
        <v>135</v>
      </c>
      <c r="C15" s="465"/>
      <c r="D15" s="465"/>
      <c r="E15" s="465">
        <f t="shared" si="6"/>
        <v>0</v>
      </c>
      <c r="F15" s="465"/>
      <c r="G15" s="466"/>
      <c r="H15" s="465">
        <v>223439</v>
      </c>
      <c r="I15" s="450">
        <f t="shared" si="3"/>
        <v>223439</v>
      </c>
      <c r="J15" s="465"/>
      <c r="K15" s="450">
        <f t="shared" si="0"/>
        <v>223439</v>
      </c>
      <c r="L15" s="465">
        <v>-223439</v>
      </c>
      <c r="M15" s="450">
        <f t="shared" si="1"/>
        <v>0</v>
      </c>
      <c r="N15" s="465"/>
      <c r="O15" s="450">
        <f t="shared" si="4"/>
        <v>0</v>
      </c>
      <c r="P15" s="450"/>
      <c r="Q15" s="451"/>
    </row>
    <row r="16" spans="1:17" ht="12.75">
      <c r="A16" s="445">
        <v>12</v>
      </c>
      <c r="B16" s="468" t="s">
        <v>130</v>
      </c>
      <c r="C16" s="465">
        <v>77434</v>
      </c>
      <c r="D16" s="465"/>
      <c r="E16" s="465">
        <f t="shared" si="6"/>
        <v>77434</v>
      </c>
      <c r="F16" s="465">
        <v>76247</v>
      </c>
      <c r="G16" s="466">
        <f>+F16/C16</f>
        <v>0.984670816437224</v>
      </c>
      <c r="H16" s="465">
        <v>-1187</v>
      </c>
      <c r="I16" s="450">
        <f t="shared" si="3"/>
        <v>76247</v>
      </c>
      <c r="J16" s="465"/>
      <c r="K16" s="450">
        <f t="shared" si="0"/>
        <v>76247</v>
      </c>
      <c r="L16" s="465"/>
      <c r="M16" s="450">
        <f t="shared" si="1"/>
        <v>76247</v>
      </c>
      <c r="N16" s="465"/>
      <c r="O16" s="450">
        <f t="shared" si="4"/>
        <v>76247</v>
      </c>
      <c r="P16" s="450">
        <v>76247</v>
      </c>
      <c r="Q16" s="451">
        <f t="shared" si="5"/>
        <v>1</v>
      </c>
    </row>
    <row r="17" spans="1:17" ht="12.75">
      <c r="A17" s="445">
        <v>13</v>
      </c>
      <c r="B17" s="468" t="s">
        <v>136</v>
      </c>
      <c r="C17" s="465">
        <v>43520</v>
      </c>
      <c r="D17" s="465"/>
      <c r="E17" s="465">
        <f t="shared" si="6"/>
        <v>43520</v>
      </c>
      <c r="F17" s="465">
        <v>10880</v>
      </c>
      <c r="G17" s="466">
        <f>+F17/C17</f>
        <v>0.25</v>
      </c>
      <c r="H17" s="465">
        <v>672</v>
      </c>
      <c r="I17" s="450">
        <f t="shared" si="3"/>
        <v>44192</v>
      </c>
      <c r="J17" s="465"/>
      <c r="K17" s="450">
        <f t="shared" si="0"/>
        <v>44192</v>
      </c>
      <c r="L17" s="465">
        <v>-33312</v>
      </c>
      <c r="M17" s="450">
        <f t="shared" si="1"/>
        <v>10880</v>
      </c>
      <c r="N17" s="465">
        <v>2059</v>
      </c>
      <c r="O17" s="450">
        <f t="shared" si="4"/>
        <v>12939</v>
      </c>
      <c r="P17" s="450">
        <v>12939</v>
      </c>
      <c r="Q17" s="451">
        <f t="shared" si="5"/>
        <v>1</v>
      </c>
    </row>
    <row r="18" spans="1:17" ht="12.75" customHeight="1" hidden="1">
      <c r="A18" s="445"/>
      <c r="B18" s="468" t="s">
        <v>137</v>
      </c>
      <c r="C18" s="465"/>
      <c r="D18" s="465"/>
      <c r="E18" s="465">
        <f t="shared" si="6"/>
        <v>0</v>
      </c>
      <c r="F18" s="465"/>
      <c r="G18" s="466" t="e">
        <f>+F18/C18</f>
        <v>#DIV/0!</v>
      </c>
      <c r="H18" s="465"/>
      <c r="I18" s="450">
        <f t="shared" si="3"/>
        <v>0</v>
      </c>
      <c r="J18" s="465"/>
      <c r="K18" s="450">
        <f t="shared" si="0"/>
        <v>0</v>
      </c>
      <c r="L18" s="465"/>
      <c r="M18" s="450">
        <f t="shared" si="1"/>
        <v>0</v>
      </c>
      <c r="N18" s="465"/>
      <c r="O18" s="450">
        <f t="shared" si="4"/>
        <v>0</v>
      </c>
      <c r="P18" s="450"/>
      <c r="Q18" s="451" t="e">
        <f t="shared" si="5"/>
        <v>#DIV/0!</v>
      </c>
    </row>
    <row r="19" spans="1:17" ht="12.75">
      <c r="A19" s="445">
        <v>14</v>
      </c>
      <c r="B19" s="468" t="s">
        <v>131</v>
      </c>
      <c r="C19" s="465"/>
      <c r="D19" s="465"/>
      <c r="E19" s="465"/>
      <c r="F19" s="465">
        <v>4161</v>
      </c>
      <c r="G19" s="466"/>
      <c r="H19" s="465">
        <v>4161</v>
      </c>
      <c r="I19" s="450">
        <f t="shared" si="3"/>
        <v>4161</v>
      </c>
      <c r="J19" s="465"/>
      <c r="K19" s="450">
        <f t="shared" si="0"/>
        <v>4161</v>
      </c>
      <c r="L19" s="465"/>
      <c r="M19" s="450">
        <f t="shared" si="1"/>
        <v>4161</v>
      </c>
      <c r="N19" s="465"/>
      <c r="O19" s="450">
        <f t="shared" si="4"/>
        <v>4161</v>
      </c>
      <c r="P19" s="450">
        <v>4161</v>
      </c>
      <c r="Q19" s="451">
        <f t="shared" si="5"/>
        <v>1</v>
      </c>
    </row>
    <row r="20" spans="1:17" ht="12.75">
      <c r="A20" s="445">
        <v>15</v>
      </c>
      <c r="B20" s="468" t="s">
        <v>132</v>
      </c>
      <c r="C20" s="465"/>
      <c r="D20" s="465"/>
      <c r="E20" s="465"/>
      <c r="F20" s="465"/>
      <c r="G20" s="466"/>
      <c r="H20" s="465"/>
      <c r="I20" s="450"/>
      <c r="J20" s="465"/>
      <c r="K20" s="450"/>
      <c r="L20" s="465"/>
      <c r="M20" s="450"/>
      <c r="N20" s="465">
        <v>6900</v>
      </c>
      <c r="O20" s="450">
        <f t="shared" si="4"/>
        <v>6900</v>
      </c>
      <c r="P20" s="450">
        <v>6900</v>
      </c>
      <c r="Q20" s="451">
        <f t="shared" si="5"/>
        <v>1</v>
      </c>
    </row>
    <row r="21" spans="1:17" ht="12.75">
      <c r="A21" s="445">
        <v>16</v>
      </c>
      <c r="B21" s="468" t="s">
        <v>93</v>
      </c>
      <c r="C21" s="465">
        <v>1200</v>
      </c>
      <c r="D21" s="465"/>
      <c r="E21" s="465">
        <f>+C21</f>
        <v>1200</v>
      </c>
      <c r="F21" s="465"/>
      <c r="G21" s="466">
        <f>+F21/C21</f>
        <v>0</v>
      </c>
      <c r="H21" s="465"/>
      <c r="I21" s="450">
        <f>+E21+H21</f>
        <v>1200</v>
      </c>
      <c r="J21" s="465"/>
      <c r="K21" s="450">
        <f>+I21+J21</f>
        <v>1200</v>
      </c>
      <c r="L21" s="465">
        <v>-1200</v>
      </c>
      <c r="M21" s="450">
        <f>+K21+L21</f>
        <v>0</v>
      </c>
      <c r="N21" s="465"/>
      <c r="O21" s="450">
        <f t="shared" si="4"/>
        <v>0</v>
      </c>
      <c r="P21" s="450"/>
      <c r="Q21" s="451"/>
    </row>
    <row r="22" spans="1:17" ht="12.75">
      <c r="A22" s="445">
        <v>17</v>
      </c>
      <c r="B22" s="468" t="s">
        <v>133</v>
      </c>
      <c r="C22" s="465"/>
      <c r="D22" s="465"/>
      <c r="E22" s="465"/>
      <c r="F22" s="465">
        <v>-27</v>
      </c>
      <c r="G22" s="466"/>
      <c r="H22" s="465"/>
      <c r="I22" s="450"/>
      <c r="J22" s="465"/>
      <c r="K22" s="450">
        <f>+I22+J22</f>
        <v>0</v>
      </c>
      <c r="L22" s="465"/>
      <c r="M22" s="450">
        <f>+K22+L22</f>
        <v>0</v>
      </c>
      <c r="N22" s="465"/>
      <c r="O22" s="450">
        <f t="shared" si="4"/>
        <v>0</v>
      </c>
      <c r="P22" s="450">
        <v>-27</v>
      </c>
      <c r="Q22" s="451"/>
    </row>
    <row r="23" spans="1:17" ht="18" customHeight="1" thickBot="1">
      <c r="A23" s="457">
        <v>18</v>
      </c>
      <c r="B23" s="469" t="s">
        <v>424</v>
      </c>
      <c r="C23" s="470">
        <f>SUM(C13:C21)</f>
        <v>126654</v>
      </c>
      <c r="D23" s="470">
        <f>SUM(D13:D21)</f>
        <v>0</v>
      </c>
      <c r="E23" s="470">
        <f>SUM(E13:E21)</f>
        <v>126654</v>
      </c>
      <c r="F23" s="470">
        <f>SUM(F13:F22)</f>
        <v>93142</v>
      </c>
      <c r="G23" s="471">
        <f>+F23/C23</f>
        <v>0.7354051194593143</v>
      </c>
      <c r="H23" s="470">
        <f>SUM(H13:H21)</f>
        <v>227085</v>
      </c>
      <c r="I23" s="470">
        <f>+E23+H23</f>
        <v>353739</v>
      </c>
      <c r="J23" s="470">
        <f>SUM(J13:J21)</f>
        <v>0</v>
      </c>
      <c r="K23" s="470">
        <f>+I23+J23</f>
        <v>353739</v>
      </c>
      <c r="L23" s="470">
        <f>SUM(L13:L21)</f>
        <v>-257951</v>
      </c>
      <c r="M23" s="470">
        <f>+K23+L23</f>
        <v>95788</v>
      </c>
      <c r="N23" s="470">
        <f>SUM(N13:N21)</f>
        <v>7216</v>
      </c>
      <c r="O23" s="470">
        <f t="shared" si="4"/>
        <v>103004</v>
      </c>
      <c r="P23" s="470">
        <f>SUM(P12:P22)</f>
        <v>104006</v>
      </c>
      <c r="Q23" s="471">
        <f t="shared" si="5"/>
        <v>1.0097277775620364</v>
      </c>
    </row>
    <row r="24" spans="1:17" ht="18" customHeight="1" thickBot="1">
      <c r="A24" s="472">
        <v>19</v>
      </c>
      <c r="B24" s="461" t="s">
        <v>8</v>
      </c>
      <c r="C24" s="473"/>
      <c r="D24" s="473"/>
      <c r="E24" s="473"/>
      <c r="F24" s="473"/>
      <c r="G24" s="474"/>
      <c r="H24" s="473"/>
      <c r="I24" s="473"/>
      <c r="J24" s="473"/>
      <c r="K24" s="473"/>
      <c r="L24" s="473"/>
      <c r="M24" s="473"/>
      <c r="N24" s="473"/>
      <c r="O24" s="473">
        <v>800</v>
      </c>
      <c r="P24" s="473">
        <f>630*1.27</f>
        <v>800.1</v>
      </c>
      <c r="Q24" s="471">
        <f t="shared" si="5"/>
        <v>1.000125</v>
      </c>
    </row>
    <row r="25" spans="1:17" ht="31.5" customHeight="1" thickBot="1">
      <c r="A25" s="475"/>
      <c r="B25" s="476" t="s">
        <v>508</v>
      </c>
      <c r="C25" s="477">
        <f>C10+C23+C11+C24</f>
        <v>336932</v>
      </c>
      <c r="D25" s="477">
        <f aca="true" t="shared" si="7" ref="D25:P25">D10+D23+D11+D24</f>
        <v>56545.909999999996</v>
      </c>
      <c r="E25" s="477">
        <f t="shared" si="7"/>
        <v>393477.91</v>
      </c>
      <c r="F25" s="477">
        <f t="shared" si="7"/>
        <v>122328</v>
      </c>
      <c r="G25" s="477">
        <f t="shared" si="7"/>
        <v>1.2133952813143778</v>
      </c>
      <c r="H25" s="477">
        <f t="shared" si="7"/>
        <v>255124</v>
      </c>
      <c r="I25" s="477">
        <f t="shared" si="7"/>
        <v>648601.91</v>
      </c>
      <c r="J25" s="477">
        <f t="shared" si="7"/>
        <v>-4000</v>
      </c>
      <c r="K25" s="477">
        <f t="shared" si="7"/>
        <v>644601.91</v>
      </c>
      <c r="L25" s="477">
        <f t="shared" si="7"/>
        <v>-260546</v>
      </c>
      <c r="M25" s="477">
        <f t="shared" si="7"/>
        <v>384055.91</v>
      </c>
      <c r="N25" s="477">
        <f t="shared" si="7"/>
        <v>-212404</v>
      </c>
      <c r="O25" s="477">
        <f t="shared" si="7"/>
        <v>172451.91000000003</v>
      </c>
      <c r="P25" s="477">
        <f t="shared" si="7"/>
        <v>169531.16</v>
      </c>
      <c r="Q25" s="478">
        <f t="shared" si="5"/>
        <v>0.9830633943109124</v>
      </c>
    </row>
  </sheetData>
  <sheetProtection/>
  <mergeCells count="1">
    <mergeCell ref="C2:E2"/>
  </mergeCells>
  <printOptions horizontalCentered="1"/>
  <pageMargins left="0.2755905511811024" right="0.1968503937007874" top="1.3779527559055118" bottom="0.5118110236220472" header="0.35433070866141736" footer="0.2755905511811024"/>
  <pageSetup fitToHeight="1" fitToWidth="1" horizontalDpi="600" verticalDpi="600" orientation="landscape" paperSize="9" scale="96" r:id="rId1"/>
  <headerFooter alignWithMargins="0">
    <oddHeader>&amp;L2.2.sz.melléklet&amp;C&amp;"Arial,Félkövér"Nagykovácsi Nagyközség Önkormányzatának
2012. évi felhalmozási bevételeinek részletezése&amp;12
&amp;Radatok e Ft-ban</oddHeader>
    <oddFooter>&amp;L&amp;D&amp;C&amp;P&amp;R&amp;F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6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7.28125" style="405" bestFit="1" customWidth="1"/>
    <col min="2" max="2" width="8.57421875" style="429" bestFit="1" customWidth="1"/>
    <col min="3" max="3" width="11.00390625" style="429" bestFit="1" customWidth="1"/>
    <col min="4" max="4" width="14.140625" style="429" bestFit="1" customWidth="1"/>
    <col min="5" max="5" width="14.140625" style="430" bestFit="1" customWidth="1"/>
    <col min="6" max="6" width="13.140625" style="429" bestFit="1" customWidth="1"/>
    <col min="7" max="7" width="14.140625" style="429" bestFit="1" customWidth="1"/>
    <col min="8" max="8" width="19.7109375" style="429" bestFit="1" customWidth="1"/>
    <col min="9" max="9" width="14.140625" style="429" bestFit="1" customWidth="1"/>
    <col min="10" max="10" width="12.00390625" style="429" bestFit="1" customWidth="1"/>
    <col min="11" max="14" width="9.140625" style="403" customWidth="1"/>
    <col min="15" max="15" width="9.140625" style="404" customWidth="1"/>
    <col min="16" max="16384" width="9.140625" style="405" customWidth="1"/>
  </cols>
  <sheetData>
    <row r="1" spans="1:10" ht="13.5" customHeight="1" thickBot="1">
      <c r="A1" s="407"/>
      <c r="B1" s="882" t="s">
        <v>541</v>
      </c>
      <c r="C1" s="883"/>
      <c r="D1" s="883"/>
      <c r="E1" s="883"/>
      <c r="F1" s="883"/>
      <c r="G1" s="884"/>
      <c r="H1" s="415" t="s">
        <v>197</v>
      </c>
      <c r="I1" s="415" t="s">
        <v>542</v>
      </c>
      <c r="J1" s="415" t="s">
        <v>543</v>
      </c>
    </row>
    <row r="2" spans="1:10" ht="12.75">
      <c r="A2" s="406"/>
      <c r="B2" s="416" t="s">
        <v>544</v>
      </c>
      <c r="C2" s="880" t="s">
        <v>545</v>
      </c>
      <c r="D2" s="881"/>
      <c r="E2" s="417"/>
      <c r="F2" s="418"/>
      <c r="G2" s="419"/>
      <c r="H2" s="419"/>
      <c r="I2" s="419"/>
      <c r="J2" s="419"/>
    </row>
    <row r="3" spans="1:10" ht="12.75">
      <c r="A3" s="479" t="s">
        <v>546</v>
      </c>
      <c r="B3" s="480"/>
      <c r="C3" s="481" t="s">
        <v>547</v>
      </c>
      <c r="D3" s="482" t="s">
        <v>548</v>
      </c>
      <c r="E3" s="483" t="s">
        <v>549</v>
      </c>
      <c r="F3" s="484" t="s">
        <v>550</v>
      </c>
      <c r="G3" s="485" t="s">
        <v>551</v>
      </c>
      <c r="H3" s="485" t="s">
        <v>199</v>
      </c>
      <c r="I3" s="485" t="s">
        <v>199</v>
      </c>
      <c r="J3" s="485"/>
    </row>
    <row r="4" spans="1:10" ht="12.75">
      <c r="A4" s="479"/>
      <c r="B4" s="480"/>
      <c r="C4" s="486"/>
      <c r="D4" s="487"/>
      <c r="E4" s="488"/>
      <c r="F4" s="489"/>
      <c r="G4" s="490"/>
      <c r="H4" s="490"/>
      <c r="I4" s="490"/>
      <c r="J4" s="490"/>
    </row>
    <row r="5" spans="1:10" s="408" customFormat="1" ht="26.25">
      <c r="A5" s="491" t="s">
        <v>552</v>
      </c>
      <c r="B5" s="492">
        <v>6861</v>
      </c>
      <c r="C5" s="493">
        <v>4074</v>
      </c>
      <c r="D5" s="494">
        <v>27951714</v>
      </c>
      <c r="E5" s="495">
        <f>SUM(D5)</f>
        <v>27951714</v>
      </c>
      <c r="F5" s="496"/>
      <c r="G5" s="497"/>
      <c r="H5" s="497">
        <f>+E5</f>
        <v>27951714</v>
      </c>
      <c r="I5" s="497">
        <v>27951714</v>
      </c>
      <c r="J5" s="497">
        <f aca="true" t="shared" si="0" ref="J5:J60">+I5-H5</f>
        <v>0</v>
      </c>
    </row>
    <row r="6" spans="1:10" s="408" customFormat="1" ht="15">
      <c r="A6" s="498" t="s">
        <v>553</v>
      </c>
      <c r="B6" s="492"/>
      <c r="C6" s="493"/>
      <c r="D6" s="494">
        <v>4436446</v>
      </c>
      <c r="E6" s="499">
        <f>SUM(D6)</f>
        <v>4436446</v>
      </c>
      <c r="F6" s="500"/>
      <c r="G6" s="501"/>
      <c r="H6" s="501">
        <f>+E6</f>
        <v>4436446</v>
      </c>
      <c r="I6" s="501">
        <v>4436446</v>
      </c>
      <c r="J6" s="501">
        <f t="shared" si="0"/>
        <v>0</v>
      </c>
    </row>
    <row r="7" spans="1:10" ht="12.75">
      <c r="A7" s="502" t="s">
        <v>554</v>
      </c>
      <c r="B7" s="503"/>
      <c r="C7" s="504"/>
      <c r="D7" s="505"/>
      <c r="E7" s="506"/>
      <c r="F7" s="507"/>
      <c r="G7" s="508"/>
      <c r="H7" s="508"/>
      <c r="I7" s="508"/>
      <c r="J7" s="508">
        <f t="shared" si="0"/>
        <v>0</v>
      </c>
    </row>
    <row r="8" spans="1:10" ht="12.75">
      <c r="A8" s="502" t="s">
        <v>555</v>
      </c>
      <c r="B8" s="503">
        <v>574</v>
      </c>
      <c r="C8" s="504">
        <v>7729</v>
      </c>
      <c r="D8" s="505">
        <v>4436446</v>
      </c>
      <c r="E8" s="506"/>
      <c r="F8" s="507"/>
      <c r="G8" s="509"/>
      <c r="H8" s="509"/>
      <c r="I8" s="509"/>
      <c r="J8" s="509">
        <f t="shared" si="0"/>
        <v>0</v>
      </c>
    </row>
    <row r="9" spans="1:10" s="408" customFormat="1" ht="15">
      <c r="A9" s="498" t="s">
        <v>556</v>
      </c>
      <c r="B9" s="492">
        <v>14</v>
      </c>
      <c r="C9" s="493">
        <v>2612</v>
      </c>
      <c r="D9" s="494">
        <v>36568</v>
      </c>
      <c r="E9" s="495">
        <f>SUM(D9)</f>
        <v>36568</v>
      </c>
      <c r="F9" s="496"/>
      <c r="G9" s="497"/>
      <c r="H9" s="497">
        <f>+E9</f>
        <v>36568</v>
      </c>
      <c r="I9" s="497">
        <v>36568</v>
      </c>
      <c r="J9" s="497">
        <f t="shared" si="0"/>
        <v>0</v>
      </c>
    </row>
    <row r="10" spans="1:10" s="408" customFormat="1" ht="15">
      <c r="A10" s="510" t="s">
        <v>557</v>
      </c>
      <c r="B10" s="511"/>
      <c r="C10" s="512"/>
      <c r="D10" s="513"/>
      <c r="E10" s="514"/>
      <c r="F10" s="515"/>
      <c r="G10" s="516"/>
      <c r="H10" s="516"/>
      <c r="I10" s="516"/>
      <c r="J10" s="516">
        <f t="shared" si="0"/>
        <v>0</v>
      </c>
    </row>
    <row r="11" spans="1:10" s="408" customFormat="1" ht="15">
      <c r="A11" s="510" t="s">
        <v>558</v>
      </c>
      <c r="B11" s="511"/>
      <c r="C11" s="512"/>
      <c r="D11" s="513"/>
      <c r="E11" s="514"/>
      <c r="F11" s="515"/>
      <c r="G11" s="516"/>
      <c r="H11" s="516"/>
      <c r="I11" s="516">
        <v>114375</v>
      </c>
      <c r="J11" s="516">
        <f t="shared" si="0"/>
        <v>114375</v>
      </c>
    </row>
    <row r="12" spans="1:10" s="408" customFormat="1" ht="15">
      <c r="A12" s="498" t="s">
        <v>559</v>
      </c>
      <c r="B12" s="492"/>
      <c r="C12" s="517"/>
      <c r="D12" s="494">
        <v>13946831</v>
      </c>
      <c r="E12" s="495">
        <f>SUM(D12)</f>
        <v>13946831</v>
      </c>
      <c r="F12" s="496"/>
      <c r="G12" s="497"/>
      <c r="H12" s="497">
        <f>+E12</f>
        <v>13946831</v>
      </c>
      <c r="I12" s="497">
        <v>13946831</v>
      </c>
      <c r="J12" s="497">
        <f t="shared" si="0"/>
        <v>0</v>
      </c>
    </row>
    <row r="13" spans="1:10" s="408" customFormat="1" ht="15">
      <c r="A13" s="498" t="s">
        <v>560</v>
      </c>
      <c r="B13" s="518"/>
      <c r="C13" s="517"/>
      <c r="D13" s="494">
        <f>D18</f>
        <v>608960</v>
      </c>
      <c r="E13" s="499">
        <f>SUM(D13)</f>
        <v>608960</v>
      </c>
      <c r="F13" s="500"/>
      <c r="G13" s="501"/>
      <c r="H13" s="501">
        <f>+E13-55360-55360</f>
        <v>498240</v>
      </c>
      <c r="I13" s="501">
        <v>498240</v>
      </c>
      <c r="J13" s="501">
        <f t="shared" si="0"/>
        <v>0</v>
      </c>
    </row>
    <row r="14" spans="1:10" ht="12.75">
      <c r="A14" s="502" t="s">
        <v>561</v>
      </c>
      <c r="B14" s="519"/>
      <c r="C14" s="520"/>
      <c r="D14" s="505"/>
      <c r="E14" s="506"/>
      <c r="F14" s="507"/>
      <c r="G14" s="508"/>
      <c r="H14" s="508"/>
      <c r="I14" s="508"/>
      <c r="J14" s="508">
        <f t="shared" si="0"/>
        <v>0</v>
      </c>
    </row>
    <row r="15" spans="1:10" ht="12.75">
      <c r="A15" s="502" t="s">
        <v>562</v>
      </c>
      <c r="B15" s="519"/>
      <c r="C15" s="520"/>
      <c r="D15" s="505"/>
      <c r="E15" s="506"/>
      <c r="F15" s="507"/>
      <c r="G15" s="508"/>
      <c r="H15" s="508"/>
      <c r="I15" s="508"/>
      <c r="J15" s="508">
        <f t="shared" si="0"/>
        <v>0</v>
      </c>
    </row>
    <row r="16" spans="1:10" ht="12.75">
      <c r="A16" s="502" t="s">
        <v>563</v>
      </c>
      <c r="B16" s="519"/>
      <c r="C16" s="520"/>
      <c r="D16" s="505"/>
      <c r="E16" s="506"/>
      <c r="F16" s="507"/>
      <c r="G16" s="508"/>
      <c r="H16" s="508"/>
      <c r="I16" s="508"/>
      <c r="J16" s="508">
        <f t="shared" si="0"/>
        <v>0</v>
      </c>
    </row>
    <row r="17" spans="1:10" ht="12.75">
      <c r="A17" s="502" t="s">
        <v>564</v>
      </c>
      <c r="B17" s="519"/>
      <c r="C17" s="520"/>
      <c r="D17" s="505"/>
      <c r="E17" s="506"/>
      <c r="F17" s="507"/>
      <c r="G17" s="508"/>
      <c r="H17" s="508"/>
      <c r="I17" s="508"/>
      <c r="J17" s="508">
        <f t="shared" si="0"/>
        <v>0</v>
      </c>
    </row>
    <row r="18" spans="1:10" ht="12.75">
      <c r="A18" s="502" t="s">
        <v>565</v>
      </c>
      <c r="B18" s="519">
        <v>11</v>
      </c>
      <c r="C18" s="520">
        <v>55360</v>
      </c>
      <c r="D18" s="505">
        <v>608960</v>
      </c>
      <c r="E18" s="506"/>
      <c r="F18" s="507"/>
      <c r="G18" s="508"/>
      <c r="H18" s="508"/>
      <c r="I18" s="508"/>
      <c r="J18" s="508">
        <f t="shared" si="0"/>
        <v>0</v>
      </c>
    </row>
    <row r="19" spans="1:10" ht="12.75">
      <c r="A19" s="502" t="s">
        <v>566</v>
      </c>
      <c r="B19" s="519"/>
      <c r="C19" s="520"/>
      <c r="D19" s="505"/>
      <c r="E19" s="506"/>
      <c r="F19" s="507"/>
      <c r="G19" s="508"/>
      <c r="H19" s="508"/>
      <c r="I19" s="508"/>
      <c r="J19" s="508">
        <f t="shared" si="0"/>
        <v>0</v>
      </c>
    </row>
    <row r="20" spans="1:10" ht="12.75">
      <c r="A20" s="502"/>
      <c r="B20" s="519"/>
      <c r="C20" s="520"/>
      <c r="D20" s="505"/>
      <c r="E20" s="506"/>
      <c r="F20" s="507"/>
      <c r="G20" s="508"/>
      <c r="H20" s="508"/>
      <c r="I20" s="508"/>
      <c r="J20" s="508">
        <f t="shared" si="0"/>
        <v>0</v>
      </c>
    </row>
    <row r="21" spans="1:10" ht="12.75">
      <c r="A21" s="498" t="s">
        <v>567</v>
      </c>
      <c r="B21" s="518"/>
      <c r="C21" s="517"/>
      <c r="D21" s="494">
        <f aca="true" t="shared" si="1" ref="D21:I21">D23+D27+D33+D40</f>
        <v>143911600</v>
      </c>
      <c r="E21" s="494">
        <f t="shared" si="1"/>
        <v>0</v>
      </c>
      <c r="F21" s="494">
        <f t="shared" si="1"/>
        <v>75783399</v>
      </c>
      <c r="G21" s="521">
        <f t="shared" si="1"/>
        <v>68128201</v>
      </c>
      <c r="H21" s="521">
        <f t="shared" si="1"/>
        <v>143729335</v>
      </c>
      <c r="I21" s="521">
        <f t="shared" si="1"/>
        <v>144253669</v>
      </c>
      <c r="J21" s="521">
        <f t="shared" si="0"/>
        <v>524334</v>
      </c>
    </row>
    <row r="22" spans="1:10" ht="12.75">
      <c r="A22" s="498"/>
      <c r="B22" s="518"/>
      <c r="C22" s="517"/>
      <c r="D22" s="494"/>
      <c r="E22" s="506"/>
      <c r="F22" s="507"/>
      <c r="G22" s="508"/>
      <c r="H22" s="508"/>
      <c r="I22" s="508"/>
      <c r="J22" s="508">
        <f t="shared" si="0"/>
        <v>0</v>
      </c>
    </row>
    <row r="23" spans="1:10" s="408" customFormat="1" ht="15">
      <c r="A23" s="498" t="s">
        <v>568</v>
      </c>
      <c r="B23" s="518"/>
      <c r="C23" s="517"/>
      <c r="D23" s="494">
        <f aca="true" t="shared" si="2" ref="D23:I23">D24+D25</f>
        <v>60238334</v>
      </c>
      <c r="E23" s="494">
        <f t="shared" si="2"/>
        <v>0</v>
      </c>
      <c r="F23" s="494">
        <f t="shared" si="2"/>
        <v>0</v>
      </c>
      <c r="G23" s="521">
        <f t="shared" si="2"/>
        <v>60238334</v>
      </c>
      <c r="H23" s="521">
        <f t="shared" si="2"/>
        <v>60081667</v>
      </c>
      <c r="I23" s="521">
        <f t="shared" si="2"/>
        <v>60316667</v>
      </c>
      <c r="J23" s="521">
        <f t="shared" si="0"/>
        <v>235000</v>
      </c>
    </row>
    <row r="24" spans="1:10" ht="12.75">
      <c r="A24" s="502" t="s">
        <v>569</v>
      </c>
      <c r="B24" s="519" t="s">
        <v>570</v>
      </c>
      <c r="C24" s="520">
        <v>2350000</v>
      </c>
      <c r="D24" s="505">
        <v>40576667</v>
      </c>
      <c r="E24" s="522"/>
      <c r="F24" s="523"/>
      <c r="G24" s="524">
        <v>40576667</v>
      </c>
      <c r="H24" s="524">
        <f>+G24-156667</f>
        <v>40420000</v>
      </c>
      <c r="I24" s="524">
        <v>40106667</v>
      </c>
      <c r="J24" s="524">
        <f t="shared" si="0"/>
        <v>-313333</v>
      </c>
    </row>
    <row r="25" spans="1:10" ht="12.75">
      <c r="A25" s="502" t="s">
        <v>571</v>
      </c>
      <c r="B25" s="519" t="s">
        <v>572</v>
      </c>
      <c r="C25" s="520">
        <v>2350000</v>
      </c>
      <c r="D25" s="505">
        <v>19661667</v>
      </c>
      <c r="E25" s="506"/>
      <c r="F25" s="507"/>
      <c r="G25" s="509">
        <f>SUM(D25:F25)</f>
        <v>19661667</v>
      </c>
      <c r="H25" s="509">
        <f>SUM(D25:F25)</f>
        <v>19661667</v>
      </c>
      <c r="I25" s="509">
        <v>20210000</v>
      </c>
      <c r="J25" s="509">
        <f t="shared" si="0"/>
        <v>548333</v>
      </c>
    </row>
    <row r="26" spans="1:10" s="1" customFormat="1" ht="12.75">
      <c r="A26" s="502"/>
      <c r="B26" s="519"/>
      <c r="C26" s="520"/>
      <c r="D26" s="505"/>
      <c r="E26" s="506"/>
      <c r="F26" s="507"/>
      <c r="G26" s="509"/>
      <c r="H26" s="509"/>
      <c r="I26" s="509"/>
      <c r="J26" s="509">
        <f t="shared" si="0"/>
        <v>0</v>
      </c>
    </row>
    <row r="27" spans="1:10" s="408" customFormat="1" ht="15">
      <c r="A27" s="498" t="s">
        <v>573</v>
      </c>
      <c r="B27" s="518"/>
      <c r="C27" s="517"/>
      <c r="D27" s="494">
        <f>D28+D29+D30+D31</f>
        <v>63058333</v>
      </c>
      <c r="E27" s="499"/>
      <c r="F27" s="500">
        <f>F28+F29+F30+F31</f>
        <v>63058333</v>
      </c>
      <c r="G27" s="501"/>
      <c r="H27" s="501">
        <f>H28+H29+H30+H31</f>
        <v>62745001</v>
      </c>
      <c r="I27" s="501">
        <f>I28+I29+I30+I31</f>
        <v>63058335</v>
      </c>
      <c r="J27" s="501">
        <f>J28+J29+J30+J31</f>
        <v>313334</v>
      </c>
    </row>
    <row r="28" spans="1:10" ht="12.75">
      <c r="A28" s="502" t="s">
        <v>574</v>
      </c>
      <c r="B28" s="503">
        <v>24.04</v>
      </c>
      <c r="C28" s="520">
        <v>2350000</v>
      </c>
      <c r="D28" s="525">
        <v>37600000</v>
      </c>
      <c r="E28" s="506"/>
      <c r="F28" s="507">
        <f>D28</f>
        <v>37600000</v>
      </c>
      <c r="G28" s="509"/>
      <c r="H28" s="509">
        <v>37756666</v>
      </c>
      <c r="I28" s="509">
        <v>37600000</v>
      </c>
      <c r="J28" s="509">
        <f t="shared" si="0"/>
        <v>-156666</v>
      </c>
    </row>
    <row r="29" spans="1:10" ht="12.75">
      <c r="A29" s="502" t="s">
        <v>575</v>
      </c>
      <c r="B29" s="519">
        <v>26.9</v>
      </c>
      <c r="C29" s="520">
        <v>2350000</v>
      </c>
      <c r="D29" s="525">
        <v>20915000</v>
      </c>
      <c r="E29" s="506"/>
      <c r="F29" s="507">
        <f>D29</f>
        <v>20915000</v>
      </c>
      <c r="G29" s="509"/>
      <c r="H29" s="509">
        <v>20601668</v>
      </c>
      <c r="I29" s="509">
        <v>20601668</v>
      </c>
      <c r="J29" s="509">
        <f t="shared" si="0"/>
        <v>0</v>
      </c>
    </row>
    <row r="30" spans="1:10" ht="12.75">
      <c r="A30" s="502" t="s">
        <v>576</v>
      </c>
      <c r="B30" s="526">
        <v>1.94</v>
      </c>
      <c r="C30" s="504">
        <v>2350000</v>
      </c>
      <c r="D30" s="525">
        <v>2976666</v>
      </c>
      <c r="E30" s="506"/>
      <c r="F30" s="507">
        <f>D30</f>
        <v>2976666</v>
      </c>
      <c r="G30" s="509"/>
      <c r="H30" s="509">
        <v>2820000</v>
      </c>
      <c r="I30" s="509">
        <v>2820000</v>
      </c>
      <c r="J30" s="509">
        <f t="shared" si="0"/>
        <v>0</v>
      </c>
    </row>
    <row r="31" spans="1:10" ht="12.75">
      <c r="A31" s="502" t="s">
        <v>577</v>
      </c>
      <c r="B31" s="519">
        <v>2</v>
      </c>
      <c r="C31" s="504"/>
      <c r="D31" s="525">
        <v>1566667</v>
      </c>
      <c r="E31" s="506"/>
      <c r="F31" s="507">
        <f>D31</f>
        <v>1566667</v>
      </c>
      <c r="G31" s="508"/>
      <c r="H31" s="508">
        <v>1566667</v>
      </c>
      <c r="I31" s="508">
        <v>2036667</v>
      </c>
      <c r="J31" s="508">
        <f t="shared" si="0"/>
        <v>470000</v>
      </c>
    </row>
    <row r="32" spans="1:10" ht="12.75">
      <c r="A32" s="502"/>
      <c r="B32" s="519"/>
      <c r="C32" s="527"/>
      <c r="D32" s="506"/>
      <c r="E32" s="506"/>
      <c r="F32" s="507"/>
      <c r="G32" s="509"/>
      <c r="H32" s="509"/>
      <c r="I32" s="509"/>
      <c r="J32" s="509">
        <f t="shared" si="0"/>
        <v>0</v>
      </c>
    </row>
    <row r="33" spans="1:10" s="408" customFormat="1" ht="15">
      <c r="A33" s="498" t="s">
        <v>578</v>
      </c>
      <c r="B33" s="492">
        <f>SUM(B24:B31)</f>
        <v>54.879999999999995</v>
      </c>
      <c r="C33" s="517"/>
      <c r="D33" s="499">
        <f aca="true" t="shared" si="3" ref="D33:J33">D35+D36+D37+D38</f>
        <v>1470933</v>
      </c>
      <c r="E33" s="499">
        <f t="shared" si="3"/>
        <v>0</v>
      </c>
      <c r="F33" s="499">
        <f t="shared" si="3"/>
        <v>993066</v>
      </c>
      <c r="G33" s="501">
        <f t="shared" si="3"/>
        <v>477867</v>
      </c>
      <c r="H33" s="501">
        <f t="shared" si="3"/>
        <v>1418667</v>
      </c>
      <c r="I33" s="501">
        <f t="shared" si="3"/>
        <v>1418667</v>
      </c>
      <c r="J33" s="501">
        <f t="shared" si="3"/>
        <v>0</v>
      </c>
    </row>
    <row r="34" spans="1:10" ht="12.75">
      <c r="A34" s="502" t="s">
        <v>579</v>
      </c>
      <c r="B34" s="503"/>
      <c r="C34" s="520"/>
      <c r="D34" s="505"/>
      <c r="E34" s="506"/>
      <c r="F34" s="507"/>
      <c r="G34" s="509"/>
      <c r="H34" s="509"/>
      <c r="I34" s="509"/>
      <c r="J34" s="509">
        <f t="shared" si="0"/>
        <v>0</v>
      </c>
    </row>
    <row r="35" spans="1:10" ht="12.75">
      <c r="A35" s="502" t="s">
        <v>580</v>
      </c>
      <c r="B35" s="519"/>
      <c r="C35" s="504"/>
      <c r="D35" s="505">
        <v>358400</v>
      </c>
      <c r="E35" s="506"/>
      <c r="F35" s="507"/>
      <c r="G35" s="509">
        <f>D35</f>
        <v>358400</v>
      </c>
      <c r="H35" s="509">
        <v>358400</v>
      </c>
      <c r="I35" s="509">
        <f>+G35</f>
        <v>358400</v>
      </c>
      <c r="J35" s="509">
        <f t="shared" si="0"/>
        <v>0</v>
      </c>
    </row>
    <row r="36" spans="1:10" ht="12.75">
      <c r="A36" s="502" t="s">
        <v>581</v>
      </c>
      <c r="B36" s="519"/>
      <c r="C36" s="504"/>
      <c r="D36" s="505">
        <v>119467</v>
      </c>
      <c r="E36" s="506"/>
      <c r="F36" s="507"/>
      <c r="G36" s="509">
        <f>D36</f>
        <v>119467</v>
      </c>
      <c r="H36" s="509">
        <v>119467</v>
      </c>
      <c r="I36" s="509">
        <f>+G36</f>
        <v>119467</v>
      </c>
      <c r="J36" s="509">
        <f t="shared" si="0"/>
        <v>0</v>
      </c>
    </row>
    <row r="37" spans="1:10" ht="12.75">
      <c r="A37" s="502" t="s">
        <v>582</v>
      </c>
      <c r="B37" s="519"/>
      <c r="C37" s="520"/>
      <c r="D37" s="525">
        <v>731733</v>
      </c>
      <c r="E37" s="506"/>
      <c r="F37" s="507">
        <f>D37</f>
        <v>731733</v>
      </c>
      <c r="G37" s="509"/>
      <c r="H37" s="509">
        <v>731733</v>
      </c>
      <c r="I37" s="509">
        <v>731733</v>
      </c>
      <c r="J37" s="509">
        <f t="shared" si="0"/>
        <v>0</v>
      </c>
    </row>
    <row r="38" spans="1:10" ht="12.75">
      <c r="A38" s="502" t="s">
        <v>583</v>
      </c>
      <c r="B38" s="519"/>
      <c r="C38" s="504"/>
      <c r="D38" s="525">
        <v>261333</v>
      </c>
      <c r="E38" s="506"/>
      <c r="F38" s="507">
        <f>D38</f>
        <v>261333</v>
      </c>
      <c r="G38" s="508"/>
      <c r="H38" s="508">
        <v>209067</v>
      </c>
      <c r="I38" s="508">
        <v>209067</v>
      </c>
      <c r="J38" s="508">
        <f t="shared" si="0"/>
        <v>0</v>
      </c>
    </row>
    <row r="39" spans="1:10" ht="12.75">
      <c r="A39" s="502"/>
      <c r="B39" s="519"/>
      <c r="C39" s="504"/>
      <c r="D39" s="525"/>
      <c r="E39" s="506"/>
      <c r="F39" s="507"/>
      <c r="G39" s="509"/>
      <c r="H39" s="509"/>
      <c r="I39" s="509"/>
      <c r="J39" s="509">
        <f t="shared" si="0"/>
        <v>0</v>
      </c>
    </row>
    <row r="40" spans="1:10" s="408" customFormat="1" ht="15">
      <c r="A40" s="498" t="s">
        <v>584</v>
      </c>
      <c r="B40" s="518"/>
      <c r="C40" s="493"/>
      <c r="D40" s="494">
        <f aca="true" t="shared" si="4" ref="D40:I40">D42+D43+D46</f>
        <v>19144000</v>
      </c>
      <c r="E40" s="494">
        <f t="shared" si="4"/>
        <v>0</v>
      </c>
      <c r="F40" s="494">
        <f t="shared" si="4"/>
        <v>11732000</v>
      </c>
      <c r="G40" s="521">
        <f t="shared" si="4"/>
        <v>7412000</v>
      </c>
      <c r="H40" s="521">
        <f t="shared" si="4"/>
        <v>19484000</v>
      </c>
      <c r="I40" s="521">
        <f t="shared" si="4"/>
        <v>19460000</v>
      </c>
      <c r="J40" s="521">
        <f t="shared" si="0"/>
        <v>-24000</v>
      </c>
    </row>
    <row r="41" spans="1:10" ht="12.75">
      <c r="A41" s="502" t="s">
        <v>585</v>
      </c>
      <c r="B41" s="519"/>
      <c r="C41" s="504"/>
      <c r="D41" s="505"/>
      <c r="E41" s="506"/>
      <c r="F41" s="507"/>
      <c r="G41" s="509"/>
      <c r="H41" s="509"/>
      <c r="I41" s="509"/>
      <c r="J41" s="509">
        <f t="shared" si="0"/>
        <v>0</v>
      </c>
    </row>
    <row r="42" spans="1:10" ht="12.75">
      <c r="A42" s="502" t="s">
        <v>586</v>
      </c>
      <c r="B42" s="503">
        <v>109</v>
      </c>
      <c r="C42" s="520">
        <v>68000</v>
      </c>
      <c r="D42" s="505">
        <f>B42*C42</f>
        <v>7412000</v>
      </c>
      <c r="E42" s="506"/>
      <c r="F42" s="507"/>
      <c r="G42" s="509">
        <f>SUM(D42:F42)</f>
        <v>7412000</v>
      </c>
      <c r="H42" s="509">
        <f>7412000-68000</f>
        <v>7344000</v>
      </c>
      <c r="I42" s="509">
        <f>99*68000</f>
        <v>6732000</v>
      </c>
      <c r="J42" s="509">
        <f t="shared" si="0"/>
        <v>-612000</v>
      </c>
    </row>
    <row r="43" spans="1:10" ht="12.75">
      <c r="A43" s="502" t="s">
        <v>587</v>
      </c>
      <c r="B43" s="503">
        <v>139</v>
      </c>
      <c r="C43" s="520">
        <v>68000</v>
      </c>
      <c r="D43" s="525">
        <v>9452000</v>
      </c>
      <c r="E43" s="506"/>
      <c r="F43" s="507">
        <f>SUM(D43:E43)</f>
        <v>9452000</v>
      </c>
      <c r="G43" s="509"/>
      <c r="H43" s="509">
        <f>9452000-340000+748000</f>
        <v>9860000</v>
      </c>
      <c r="I43" s="509">
        <f>151*68000</f>
        <v>10268000</v>
      </c>
      <c r="J43" s="509">
        <f t="shared" si="0"/>
        <v>408000</v>
      </c>
    </row>
    <row r="44" spans="1:10" ht="12.75">
      <c r="A44" s="502" t="s">
        <v>588</v>
      </c>
      <c r="B44" s="503"/>
      <c r="C44" s="520"/>
      <c r="D44" s="525"/>
      <c r="E44" s="506"/>
      <c r="F44" s="507"/>
      <c r="G44" s="509"/>
      <c r="H44" s="509"/>
      <c r="I44" s="509"/>
      <c r="J44" s="509">
        <f t="shared" si="0"/>
        <v>0</v>
      </c>
    </row>
    <row r="45" spans="1:10" ht="12.75">
      <c r="A45" s="502" t="s">
        <v>589</v>
      </c>
      <c r="B45" s="503"/>
      <c r="C45" s="520"/>
      <c r="D45" s="525"/>
      <c r="E45" s="506"/>
      <c r="F45" s="507"/>
      <c r="G45" s="509"/>
      <c r="H45" s="509"/>
      <c r="I45" s="509"/>
      <c r="J45" s="509">
        <f t="shared" si="0"/>
        <v>0</v>
      </c>
    </row>
    <row r="46" spans="1:10" ht="12.75">
      <c r="A46" s="502" t="s">
        <v>590</v>
      </c>
      <c r="B46" s="503">
        <v>190</v>
      </c>
      <c r="C46" s="520">
        <v>12000</v>
      </c>
      <c r="D46" s="525">
        <v>2280000</v>
      </c>
      <c r="E46" s="506"/>
      <c r="F46" s="507">
        <f>D46</f>
        <v>2280000</v>
      </c>
      <c r="G46" s="509"/>
      <c r="H46" s="509">
        <v>2280000</v>
      </c>
      <c r="I46" s="509">
        <v>2460000</v>
      </c>
      <c r="J46" s="509">
        <f t="shared" si="0"/>
        <v>180000</v>
      </c>
    </row>
    <row r="47" spans="1:10" ht="13.5" thickBot="1">
      <c r="A47" s="502" t="s">
        <v>591</v>
      </c>
      <c r="B47" s="503"/>
      <c r="C47" s="520"/>
      <c r="D47" s="505"/>
      <c r="E47" s="506"/>
      <c r="F47" s="507"/>
      <c r="G47" s="508"/>
      <c r="H47" s="508"/>
      <c r="I47" s="508"/>
      <c r="J47" s="508">
        <f t="shared" si="0"/>
        <v>0</v>
      </c>
    </row>
    <row r="48" spans="1:10" ht="13.5" thickBot="1">
      <c r="A48" s="528" t="s">
        <v>592</v>
      </c>
      <c r="B48" s="529"/>
      <c r="C48" s="530"/>
      <c r="D48" s="531">
        <f>D5+D6+D9+D12+D13+D21</f>
        <v>190892119</v>
      </c>
      <c r="E48" s="532">
        <f>E5+E6+E9+E12+E13</f>
        <v>46980519</v>
      </c>
      <c r="F48" s="533">
        <f>F27+F33+F40</f>
        <v>75783399</v>
      </c>
      <c r="G48" s="534">
        <f>G23+G33+G40</f>
        <v>68128201</v>
      </c>
      <c r="H48" s="531">
        <f>H5+H6+H9+H12+H13+H21</f>
        <v>190599134</v>
      </c>
      <c r="I48" s="531">
        <f>I5+I6+I9+I12+I13+I21</f>
        <v>191123468</v>
      </c>
      <c r="J48" s="531">
        <f>J5+J6+J9+J12+J13+J21+J11</f>
        <v>638709</v>
      </c>
    </row>
    <row r="49" spans="1:10" ht="12.75">
      <c r="A49" s="510"/>
      <c r="B49" s="511"/>
      <c r="C49" s="535"/>
      <c r="D49" s="513"/>
      <c r="E49" s="506"/>
      <c r="F49" s="507"/>
      <c r="G49" s="508"/>
      <c r="H49" s="508"/>
      <c r="I49" s="508"/>
      <c r="J49" s="508">
        <f t="shared" si="0"/>
        <v>0</v>
      </c>
    </row>
    <row r="50" spans="1:10" ht="12.75">
      <c r="A50" s="498" t="s">
        <v>593</v>
      </c>
      <c r="B50" s="536"/>
      <c r="C50" s="537"/>
      <c r="D50" s="494">
        <f>D52+D53+D55+D56</f>
        <v>1498683</v>
      </c>
      <c r="E50" s="538"/>
      <c r="F50" s="539">
        <f>SUM(D50:E50)</f>
        <v>1498683</v>
      </c>
      <c r="G50" s="540">
        <v>0</v>
      </c>
      <c r="H50" s="540">
        <v>0</v>
      </c>
      <c r="I50" s="540">
        <v>0</v>
      </c>
      <c r="J50" s="540">
        <f t="shared" si="0"/>
        <v>0</v>
      </c>
    </row>
    <row r="51" spans="1:10" ht="12.75">
      <c r="A51" s="502" t="s">
        <v>594</v>
      </c>
      <c r="B51" s="503"/>
      <c r="C51" s="520"/>
      <c r="D51" s="525"/>
      <c r="E51" s="506"/>
      <c r="F51" s="507"/>
      <c r="G51" s="509">
        <v>151200</v>
      </c>
      <c r="H51" s="509">
        <v>151200</v>
      </c>
      <c r="I51" s="509">
        <v>151200</v>
      </c>
      <c r="J51" s="509">
        <f t="shared" si="0"/>
        <v>0</v>
      </c>
    </row>
    <row r="52" spans="1:10" ht="12.75">
      <c r="A52" s="502" t="s">
        <v>595</v>
      </c>
      <c r="B52" s="503"/>
      <c r="C52" s="520"/>
      <c r="D52" s="525">
        <v>369600</v>
      </c>
      <c r="E52" s="506"/>
      <c r="F52" s="507">
        <v>218400</v>
      </c>
      <c r="G52" s="508"/>
      <c r="H52" s="508">
        <v>218400</v>
      </c>
      <c r="I52" s="508">
        <v>185840</v>
      </c>
      <c r="J52" s="508">
        <f t="shared" si="0"/>
        <v>-32560</v>
      </c>
    </row>
    <row r="53" spans="1:10" ht="12.75">
      <c r="A53" s="502" t="s">
        <v>596</v>
      </c>
      <c r="B53" s="503"/>
      <c r="C53" s="520"/>
      <c r="D53" s="525">
        <v>450667</v>
      </c>
      <c r="E53" s="506"/>
      <c r="F53" s="507">
        <f>D53</f>
        <v>450667</v>
      </c>
      <c r="G53" s="508"/>
      <c r="H53" s="508">
        <v>450667</v>
      </c>
      <c r="I53" s="508">
        <v>450667</v>
      </c>
      <c r="J53" s="508">
        <f t="shared" si="0"/>
        <v>0</v>
      </c>
    </row>
    <row r="54" spans="1:10" ht="12.75">
      <c r="A54" s="502" t="s">
        <v>597</v>
      </c>
      <c r="B54" s="503"/>
      <c r="C54" s="520"/>
      <c r="D54" s="525"/>
      <c r="E54" s="506"/>
      <c r="F54" s="507">
        <f>D54</f>
        <v>0</v>
      </c>
      <c r="G54" s="508"/>
      <c r="H54" s="508"/>
      <c r="I54" s="508"/>
      <c r="J54" s="508">
        <f t="shared" si="0"/>
        <v>0</v>
      </c>
    </row>
    <row r="55" spans="1:10" ht="12.75">
      <c r="A55" s="502" t="s">
        <v>598</v>
      </c>
      <c r="B55" s="503"/>
      <c r="C55" s="520"/>
      <c r="D55" s="525">
        <v>436333</v>
      </c>
      <c r="E55" s="506"/>
      <c r="F55" s="507">
        <f>SUM(D55:E55)</f>
        <v>436333</v>
      </c>
      <c r="G55" s="508"/>
      <c r="H55" s="508">
        <v>438667</v>
      </c>
      <c r="I55" s="508">
        <v>436333</v>
      </c>
      <c r="J55" s="508">
        <f t="shared" si="0"/>
        <v>-2334</v>
      </c>
    </row>
    <row r="56" spans="1:10" ht="13.5" thickBot="1">
      <c r="A56" s="502" t="s">
        <v>599</v>
      </c>
      <c r="B56" s="503"/>
      <c r="C56" s="520"/>
      <c r="D56" s="505">
        <v>242083</v>
      </c>
      <c r="E56" s="506"/>
      <c r="F56" s="507">
        <f>SUM(D56:E56)</f>
        <v>242083</v>
      </c>
      <c r="G56" s="508"/>
      <c r="H56" s="508">
        <v>237417</v>
      </c>
      <c r="I56" s="508">
        <v>238000</v>
      </c>
      <c r="J56" s="508">
        <f t="shared" si="0"/>
        <v>583</v>
      </c>
    </row>
    <row r="57" spans="1:10" ht="13.5" thickBot="1">
      <c r="A57" s="541" t="s">
        <v>600</v>
      </c>
      <c r="B57" s="542"/>
      <c r="C57" s="543"/>
      <c r="D57" s="422">
        <f>D50</f>
        <v>1498683</v>
      </c>
      <c r="E57" s="544">
        <v>0</v>
      </c>
      <c r="F57" s="545">
        <f>F52+F53+F54+F55+F56</f>
        <v>1347483</v>
      </c>
      <c r="G57" s="546">
        <f>G51</f>
        <v>151200</v>
      </c>
      <c r="H57" s="546">
        <f>SUM(H51:H56)</f>
        <v>1496351</v>
      </c>
      <c r="I57" s="546">
        <f>SUM(I51:I56)</f>
        <v>1462040</v>
      </c>
      <c r="J57" s="546">
        <f>SUM(J51:J56)</f>
        <v>-34311</v>
      </c>
    </row>
    <row r="58" spans="1:10" ht="13.5" thickBot="1">
      <c r="A58" s="541" t="s">
        <v>601</v>
      </c>
      <c r="B58" s="542"/>
      <c r="C58" s="543"/>
      <c r="D58" s="422">
        <f aca="true" t="shared" si="5" ref="D58:J58">D48+D57</f>
        <v>192390802</v>
      </c>
      <c r="E58" s="422">
        <f t="shared" si="5"/>
        <v>46980519</v>
      </c>
      <c r="F58" s="421">
        <f t="shared" si="5"/>
        <v>77130882</v>
      </c>
      <c r="G58" s="410">
        <f t="shared" si="5"/>
        <v>68279401</v>
      </c>
      <c r="H58" s="410">
        <f>+H48+H57</f>
        <v>192095485</v>
      </c>
      <c r="I58" s="410">
        <f t="shared" si="5"/>
        <v>192585508</v>
      </c>
      <c r="J58" s="410">
        <f t="shared" si="5"/>
        <v>604398</v>
      </c>
    </row>
    <row r="59" spans="1:10" ht="12.75">
      <c r="A59" s="502" t="s">
        <v>602</v>
      </c>
      <c r="B59" s="511"/>
      <c r="C59" s="547"/>
      <c r="D59" s="505">
        <v>171140160</v>
      </c>
      <c r="E59" s="506">
        <f>SUM(D59)</f>
        <v>171140160</v>
      </c>
      <c r="F59" s="507"/>
      <c r="G59" s="509"/>
      <c r="H59" s="509">
        <f>+E59</f>
        <v>171140160</v>
      </c>
      <c r="I59" s="509">
        <v>171140160</v>
      </c>
      <c r="J59" s="509">
        <f t="shared" si="0"/>
        <v>0</v>
      </c>
    </row>
    <row r="60" spans="1:10" ht="12.75">
      <c r="A60" s="548" t="s">
        <v>603</v>
      </c>
      <c r="B60" s="549"/>
      <c r="C60" s="550"/>
      <c r="D60" s="551"/>
      <c r="E60" s="506"/>
      <c r="F60" s="507"/>
      <c r="G60" s="508"/>
      <c r="H60" s="508"/>
      <c r="I60" s="508"/>
      <c r="J60" s="508">
        <f t="shared" si="0"/>
        <v>0</v>
      </c>
    </row>
    <row r="61" spans="1:10" ht="13.5" thickBot="1">
      <c r="A61" s="552" t="s">
        <v>604</v>
      </c>
      <c r="B61" s="553"/>
      <c r="C61" s="554"/>
      <c r="D61" s="555">
        <f>D59+D60</f>
        <v>171140160</v>
      </c>
      <c r="E61" s="556">
        <f>E59</f>
        <v>171140160</v>
      </c>
      <c r="F61" s="557"/>
      <c r="G61" s="558"/>
      <c r="H61" s="558">
        <f>SUM(H59:H60)</f>
        <v>171140160</v>
      </c>
      <c r="I61" s="558">
        <f>SUM(I59:I60)</f>
        <v>171140160</v>
      </c>
      <c r="J61" s="558">
        <f>SUM(J59:J60)</f>
        <v>0</v>
      </c>
    </row>
    <row r="62" spans="1:10" ht="15" thickBot="1">
      <c r="A62" s="409" t="s">
        <v>605</v>
      </c>
      <c r="B62" s="420"/>
      <c r="C62" s="421"/>
      <c r="D62" s="421">
        <f>D58+D61</f>
        <v>363530962</v>
      </c>
      <c r="E62" s="422">
        <f>E58+E61</f>
        <v>218120679</v>
      </c>
      <c r="F62" s="421">
        <f>F58</f>
        <v>77130882</v>
      </c>
      <c r="G62" s="410">
        <f>G58</f>
        <v>68279401</v>
      </c>
      <c r="H62" s="410">
        <f>+H58+H61</f>
        <v>363235645</v>
      </c>
      <c r="I62" s="410">
        <f>+I58+I61</f>
        <v>363725668</v>
      </c>
      <c r="J62" s="410">
        <f>+J58+J61</f>
        <v>604398</v>
      </c>
    </row>
    <row r="63" spans="1:10" ht="15" hidden="1">
      <c r="A63" s="411" t="s">
        <v>606</v>
      </c>
      <c r="B63" s="423"/>
      <c r="C63" s="423"/>
      <c r="D63" s="423"/>
      <c r="E63" s="424"/>
      <c r="F63" s="425"/>
      <c r="G63" s="412">
        <f>F62+G62</f>
        <v>145410283</v>
      </c>
      <c r="H63" s="412"/>
      <c r="I63" s="412">
        <f>G62+I62</f>
        <v>432005069</v>
      </c>
      <c r="J63" s="412"/>
    </row>
    <row r="64" spans="1:10" ht="15.75" hidden="1" thickBot="1">
      <c r="A64" s="413" t="s">
        <v>607</v>
      </c>
      <c r="B64" s="426"/>
      <c r="C64" s="426"/>
      <c r="D64" s="426"/>
      <c r="E64" s="427"/>
      <c r="F64" s="428"/>
      <c r="G64" s="414">
        <f>E62+F62+G62</f>
        <v>363530962</v>
      </c>
      <c r="H64" s="414"/>
      <c r="I64" s="414">
        <f>F62+G62+I62</f>
        <v>509135951</v>
      </c>
      <c r="J64" s="414"/>
    </row>
    <row r="68" ht="12.75">
      <c r="E68" s="429"/>
    </row>
  </sheetData>
  <sheetProtection/>
  <mergeCells count="2">
    <mergeCell ref="C2:D2"/>
    <mergeCell ref="B1:G1"/>
  </mergeCells>
  <printOptions horizontalCentered="1"/>
  <pageMargins left="0.5905511811023623" right="0.3937007874015748" top="1.4960629921259843" bottom="0.5905511811023623" header="0.49" footer="0.15748031496062992"/>
  <pageSetup fitToHeight="1" fitToWidth="1" horizontalDpi="600" verticalDpi="600" orientation="landscape" scale="56" r:id="rId1"/>
  <headerFooter alignWithMargins="0">
    <oddHeader>&amp;L3/A.sz. melléklet&amp;C&amp;"Arial,Félkövér"Nagykovácsi nagyközség Önkormányzat
 2012.évi normatív állami támogatás részletezése &amp;Radatok FT-ban</oddHeader>
    <oddFooter>&amp;L&amp;9&amp;D&amp;C&amp;P&amp;R&amp;F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D50"/>
  <sheetViews>
    <sheetView zoomScalePageLayoutView="0" workbookViewId="0" topLeftCell="A1">
      <pane xSplit="5" ySplit="3" topLeftCell="F31" activePane="bottomRight" state="frozen"/>
      <selection pane="topLeft" activeCell="S44" sqref="S44"/>
      <selection pane="topRight" activeCell="S44" sqref="S44"/>
      <selection pane="bottomLeft" activeCell="S44" sqref="S44"/>
      <selection pane="bottomRight" activeCell="X13" sqref="X13"/>
    </sheetView>
  </sheetViews>
  <sheetFormatPr defaultColWidth="8.8515625" defaultRowHeight="12.75"/>
  <cols>
    <col min="1" max="1" width="6.7109375" style="9" customWidth="1"/>
    <col min="2" max="2" width="48.00390625" style="9" customWidth="1"/>
    <col min="3" max="3" width="20.7109375" style="9" customWidth="1"/>
    <col min="4" max="16" width="19.140625" style="9" hidden="1" customWidth="1"/>
    <col min="17" max="18" width="19.140625" style="9" customWidth="1"/>
    <col min="19" max="19" width="19.140625" style="128" customWidth="1"/>
    <col min="20" max="16384" width="8.8515625" style="9" customWidth="1"/>
  </cols>
  <sheetData>
    <row r="1" spans="1:30" s="137" customFormat="1" ht="25.5">
      <c r="A1" s="135" t="s">
        <v>444</v>
      </c>
      <c r="B1" s="135" t="s">
        <v>445</v>
      </c>
      <c r="C1" s="359" t="s">
        <v>610</v>
      </c>
      <c r="D1" s="359" t="s">
        <v>10</v>
      </c>
      <c r="E1" s="359" t="s">
        <v>10</v>
      </c>
      <c r="F1" s="359" t="s">
        <v>11</v>
      </c>
      <c r="G1" s="359" t="s">
        <v>11</v>
      </c>
      <c r="H1" s="360" t="s">
        <v>212</v>
      </c>
      <c r="I1" s="360" t="s">
        <v>213</v>
      </c>
      <c r="J1" s="359" t="s">
        <v>12</v>
      </c>
      <c r="K1" s="359" t="s">
        <v>12</v>
      </c>
      <c r="L1" s="359" t="s">
        <v>13</v>
      </c>
      <c r="M1" s="359" t="s">
        <v>13</v>
      </c>
      <c r="N1" s="359" t="s">
        <v>14</v>
      </c>
      <c r="O1" s="359" t="s">
        <v>14</v>
      </c>
      <c r="P1" s="359" t="s">
        <v>15</v>
      </c>
      <c r="Q1" s="359" t="s">
        <v>611</v>
      </c>
      <c r="R1" s="359" t="s">
        <v>612</v>
      </c>
      <c r="S1" s="394" t="s">
        <v>148</v>
      </c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12.75">
      <c r="A2" s="10"/>
      <c r="B2" s="22"/>
      <c r="C2" s="12"/>
      <c r="D2" s="12"/>
      <c r="E2" s="12" t="s">
        <v>16</v>
      </c>
      <c r="F2" s="12"/>
      <c r="G2" s="12" t="s">
        <v>16</v>
      </c>
      <c r="H2" s="12"/>
      <c r="I2" s="12"/>
      <c r="J2" s="12"/>
      <c r="K2" s="12" t="s">
        <v>16</v>
      </c>
      <c r="L2" s="12"/>
      <c r="M2" s="12" t="s">
        <v>16</v>
      </c>
      <c r="N2" s="12"/>
      <c r="O2" s="12" t="s">
        <v>16</v>
      </c>
      <c r="P2" s="12"/>
      <c r="Q2" s="12"/>
      <c r="R2" s="12"/>
      <c r="S2" s="11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43" customFormat="1" ht="12.75" customHeight="1" thickBo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/>
      <c r="I3" s="13"/>
      <c r="J3" s="13">
        <v>6</v>
      </c>
      <c r="K3" s="13">
        <v>7</v>
      </c>
      <c r="L3" s="13">
        <v>8</v>
      </c>
      <c r="M3" s="13">
        <v>9</v>
      </c>
      <c r="N3" s="13">
        <v>8</v>
      </c>
      <c r="O3" s="13">
        <v>9</v>
      </c>
      <c r="P3" s="13">
        <v>10</v>
      </c>
      <c r="Q3" s="13">
        <v>4</v>
      </c>
      <c r="R3" s="13">
        <v>5</v>
      </c>
      <c r="S3" s="114" t="s">
        <v>149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19" ht="12.75">
      <c r="A4" s="44" t="s">
        <v>476</v>
      </c>
      <c r="B4" s="24" t="s">
        <v>477</v>
      </c>
      <c r="C4" s="559"/>
      <c r="D4" s="559"/>
      <c r="E4" s="559"/>
      <c r="F4" s="559"/>
      <c r="G4" s="559"/>
      <c r="H4" s="559"/>
      <c r="I4" s="560"/>
      <c r="J4" s="559"/>
      <c r="K4" s="559"/>
      <c r="L4" s="559"/>
      <c r="M4" s="559"/>
      <c r="N4" s="559"/>
      <c r="O4" s="559"/>
      <c r="P4" s="559"/>
      <c r="Q4" s="559"/>
      <c r="R4" s="559"/>
      <c r="S4" s="361"/>
    </row>
    <row r="5" spans="1:19" ht="12.75">
      <c r="A5" s="45" t="s">
        <v>449</v>
      </c>
      <c r="B5" s="25" t="s">
        <v>427</v>
      </c>
      <c r="C5" s="561">
        <f>C6+C7</f>
        <v>8539</v>
      </c>
      <c r="D5" s="561"/>
      <c r="E5" s="561"/>
      <c r="F5" s="561"/>
      <c r="G5" s="561"/>
      <c r="H5" s="561"/>
      <c r="I5" s="562"/>
      <c r="J5" s="561"/>
      <c r="K5" s="561"/>
      <c r="L5" s="561"/>
      <c r="M5" s="561"/>
      <c r="N5" s="561"/>
      <c r="O5" s="561"/>
      <c r="P5" s="561"/>
      <c r="Q5" s="561">
        <f>Q6+Q7+Q8</f>
        <v>15752</v>
      </c>
      <c r="R5" s="561">
        <f>R6+R7+R8</f>
        <v>14552</v>
      </c>
      <c r="S5" s="362">
        <f>+R5/Q5</f>
        <v>0.9238191975622143</v>
      </c>
    </row>
    <row r="6" spans="1:19" ht="12.75">
      <c r="A6" s="45"/>
      <c r="B6" s="363" t="s">
        <v>478</v>
      </c>
      <c r="C6" s="563">
        <v>7955</v>
      </c>
      <c r="D6" s="563"/>
      <c r="E6" s="563"/>
      <c r="F6" s="563"/>
      <c r="G6" s="563"/>
      <c r="H6" s="563"/>
      <c r="I6" s="564"/>
      <c r="J6" s="563"/>
      <c r="K6" s="563"/>
      <c r="L6" s="563"/>
      <c r="M6" s="563"/>
      <c r="N6" s="563"/>
      <c r="O6" s="563"/>
      <c r="P6" s="563"/>
      <c r="Q6" s="563">
        <v>7955</v>
      </c>
      <c r="R6" s="563">
        <v>5210</v>
      </c>
      <c r="S6" s="364">
        <f aca="true" t="shared" si="0" ref="S6:S45">+R6/Q6</f>
        <v>0.654934003771213</v>
      </c>
    </row>
    <row r="7" spans="1:19" ht="12.75">
      <c r="A7" s="45"/>
      <c r="B7" s="363" t="s">
        <v>479</v>
      </c>
      <c r="C7" s="563">
        <v>584</v>
      </c>
      <c r="D7" s="563"/>
      <c r="E7" s="563"/>
      <c r="F7" s="563"/>
      <c r="G7" s="563"/>
      <c r="H7" s="563"/>
      <c r="I7" s="564"/>
      <c r="J7" s="563"/>
      <c r="K7" s="563"/>
      <c r="L7" s="563"/>
      <c r="M7" s="563"/>
      <c r="N7" s="563"/>
      <c r="O7" s="563"/>
      <c r="P7" s="563"/>
      <c r="Q7" s="563">
        <v>7697</v>
      </c>
      <c r="R7" s="563">
        <v>9098</v>
      </c>
      <c r="S7" s="364">
        <f t="shared" si="0"/>
        <v>1.1820189684292581</v>
      </c>
    </row>
    <row r="8" spans="1:19" ht="12.75">
      <c r="A8" s="45"/>
      <c r="B8" s="365" t="s">
        <v>480</v>
      </c>
      <c r="C8" s="563"/>
      <c r="D8" s="563"/>
      <c r="E8" s="563"/>
      <c r="F8" s="563"/>
      <c r="G8" s="563"/>
      <c r="H8" s="563"/>
      <c r="I8" s="564"/>
      <c r="J8" s="563"/>
      <c r="K8" s="563"/>
      <c r="L8" s="563"/>
      <c r="M8" s="563"/>
      <c r="N8" s="563"/>
      <c r="O8" s="563"/>
      <c r="P8" s="563"/>
      <c r="Q8" s="563">
        <v>100</v>
      </c>
      <c r="R8" s="563">
        <v>244</v>
      </c>
      <c r="S8" s="364">
        <f t="shared" si="0"/>
        <v>2.44</v>
      </c>
    </row>
    <row r="9" spans="1:19" ht="12.75">
      <c r="A9" s="10" t="s">
        <v>452</v>
      </c>
      <c r="B9" s="25" t="s">
        <v>17</v>
      </c>
      <c r="C9" s="561">
        <v>2458</v>
      </c>
      <c r="D9" s="561"/>
      <c r="E9" s="561"/>
      <c r="F9" s="561"/>
      <c r="G9" s="561"/>
      <c r="H9" s="561"/>
      <c r="I9" s="562"/>
      <c r="J9" s="561"/>
      <c r="K9" s="561"/>
      <c r="L9" s="561"/>
      <c r="M9" s="561"/>
      <c r="N9" s="561"/>
      <c r="O9" s="561"/>
      <c r="P9" s="561"/>
      <c r="Q9" s="561">
        <v>4173</v>
      </c>
      <c r="R9" s="561">
        <v>3824</v>
      </c>
      <c r="S9" s="362">
        <f t="shared" si="0"/>
        <v>0.9163671219745986</v>
      </c>
    </row>
    <row r="10" spans="1:19" ht="12.75">
      <c r="A10" s="45" t="s">
        <v>455</v>
      </c>
      <c r="B10" s="366" t="s">
        <v>482</v>
      </c>
      <c r="C10" s="561">
        <v>337446</v>
      </c>
      <c r="D10" s="561"/>
      <c r="E10" s="561"/>
      <c r="F10" s="561"/>
      <c r="G10" s="561"/>
      <c r="H10" s="561"/>
      <c r="I10" s="562"/>
      <c r="J10" s="561"/>
      <c r="K10" s="561"/>
      <c r="L10" s="561"/>
      <c r="M10" s="561"/>
      <c r="N10" s="561"/>
      <c r="O10" s="561"/>
      <c r="P10" s="561"/>
      <c r="Q10" s="561">
        <v>400394</v>
      </c>
      <c r="R10" s="561">
        <v>398883</v>
      </c>
      <c r="S10" s="362">
        <f t="shared" si="0"/>
        <v>0.9962262171760815</v>
      </c>
    </row>
    <row r="11" spans="1:19" ht="12.75">
      <c r="A11" s="45" t="s">
        <v>18</v>
      </c>
      <c r="B11" s="365" t="s">
        <v>88</v>
      </c>
      <c r="C11" s="563">
        <v>28747</v>
      </c>
      <c r="D11" s="563"/>
      <c r="E11" s="563"/>
      <c r="F11" s="563"/>
      <c r="G11" s="563"/>
      <c r="H11" s="563"/>
      <c r="I11" s="564"/>
      <c r="J11" s="563"/>
      <c r="K11" s="563"/>
      <c r="L11" s="563"/>
      <c r="M11" s="563"/>
      <c r="N11" s="563"/>
      <c r="O11" s="563"/>
      <c r="P11" s="563"/>
      <c r="Q11" s="563">
        <v>30889</v>
      </c>
      <c r="R11" s="563">
        <v>27816</v>
      </c>
      <c r="S11" s="364">
        <f t="shared" si="0"/>
        <v>0.9005147463498333</v>
      </c>
    </row>
    <row r="12" spans="1:19" ht="12.75">
      <c r="A12" s="45" t="s">
        <v>19</v>
      </c>
      <c r="B12" s="365" t="s">
        <v>0</v>
      </c>
      <c r="C12" s="563">
        <v>26500</v>
      </c>
      <c r="D12" s="563"/>
      <c r="E12" s="563"/>
      <c r="F12" s="563"/>
      <c r="G12" s="563"/>
      <c r="H12" s="563"/>
      <c r="I12" s="564"/>
      <c r="J12" s="563"/>
      <c r="K12" s="563"/>
      <c r="L12" s="563"/>
      <c r="M12" s="563"/>
      <c r="N12" s="563"/>
      <c r="O12" s="563"/>
      <c r="P12" s="563"/>
      <c r="Q12" s="563">
        <v>26212</v>
      </c>
      <c r="R12" s="563">
        <v>25734</v>
      </c>
      <c r="S12" s="364">
        <f t="shared" si="0"/>
        <v>0.9817640775217458</v>
      </c>
    </row>
    <row r="13" spans="1:19" ht="12.75">
      <c r="A13" s="45" t="s">
        <v>20</v>
      </c>
      <c r="B13" s="365" t="s">
        <v>89</v>
      </c>
      <c r="C13" s="563">
        <v>15000</v>
      </c>
      <c r="D13" s="563"/>
      <c r="E13" s="563"/>
      <c r="F13" s="563"/>
      <c r="G13" s="563"/>
      <c r="H13" s="563"/>
      <c r="I13" s="564"/>
      <c r="J13" s="563"/>
      <c r="K13" s="563"/>
      <c r="L13" s="563"/>
      <c r="M13" s="563"/>
      <c r="N13" s="563"/>
      <c r="O13" s="563"/>
      <c r="P13" s="563"/>
      <c r="Q13" s="563">
        <v>17000</v>
      </c>
      <c r="R13" s="563">
        <v>15138</v>
      </c>
      <c r="S13" s="364">
        <f t="shared" si="0"/>
        <v>0.8904705882352941</v>
      </c>
    </row>
    <row r="14" spans="1:19" ht="12.75">
      <c r="A14" s="45" t="s">
        <v>21</v>
      </c>
      <c r="B14" s="365" t="s">
        <v>1</v>
      </c>
      <c r="C14" s="563">
        <v>55532</v>
      </c>
      <c r="D14" s="563"/>
      <c r="E14" s="563"/>
      <c r="F14" s="563"/>
      <c r="G14" s="563"/>
      <c r="H14" s="563"/>
      <c r="I14" s="564"/>
      <c r="J14" s="563"/>
      <c r="K14" s="563"/>
      <c r="L14" s="563"/>
      <c r="M14" s="563"/>
      <c r="N14" s="563"/>
      <c r="O14" s="563"/>
      <c r="P14" s="563"/>
      <c r="Q14" s="563">
        <v>67805</v>
      </c>
      <c r="R14" s="563">
        <v>67016</v>
      </c>
      <c r="S14" s="364">
        <f t="shared" si="0"/>
        <v>0.9883636899933633</v>
      </c>
    </row>
    <row r="15" spans="1:19" ht="12.75">
      <c r="A15" s="45" t="s">
        <v>22</v>
      </c>
      <c r="B15" s="365" t="s">
        <v>2</v>
      </c>
      <c r="C15" s="563">
        <v>56646</v>
      </c>
      <c r="D15" s="563"/>
      <c r="E15" s="563"/>
      <c r="F15" s="563"/>
      <c r="G15" s="563"/>
      <c r="H15" s="563"/>
      <c r="I15" s="564"/>
      <c r="J15" s="563"/>
      <c r="K15" s="563"/>
      <c r="L15" s="563"/>
      <c r="M15" s="563"/>
      <c r="N15" s="563"/>
      <c r="O15" s="563"/>
      <c r="P15" s="563"/>
      <c r="Q15" s="563">
        <v>40646</v>
      </c>
      <c r="R15" s="563">
        <v>40166</v>
      </c>
      <c r="S15" s="364">
        <f t="shared" si="0"/>
        <v>0.9881907198740344</v>
      </c>
    </row>
    <row r="16" spans="1:19" ht="12.75">
      <c r="A16" s="45" t="s">
        <v>23</v>
      </c>
      <c r="B16" s="365" t="s">
        <v>3</v>
      </c>
      <c r="C16" s="563">
        <v>155021</v>
      </c>
      <c r="D16" s="563"/>
      <c r="E16" s="563"/>
      <c r="F16" s="563"/>
      <c r="G16" s="563"/>
      <c r="H16" s="563"/>
      <c r="I16" s="564"/>
      <c r="J16" s="563"/>
      <c r="K16" s="563"/>
      <c r="L16" s="563"/>
      <c r="M16" s="563"/>
      <c r="N16" s="563"/>
      <c r="O16" s="563"/>
      <c r="P16" s="563"/>
      <c r="Q16" s="563">
        <v>217842</v>
      </c>
      <c r="R16" s="563">
        <v>223013</v>
      </c>
      <c r="S16" s="364">
        <f t="shared" si="0"/>
        <v>1.0237373876479283</v>
      </c>
    </row>
    <row r="17" spans="1:19" ht="12.75">
      <c r="A17" s="45" t="s">
        <v>457</v>
      </c>
      <c r="B17" s="366" t="s">
        <v>483</v>
      </c>
      <c r="C17" s="561">
        <v>5670</v>
      </c>
      <c r="D17" s="561"/>
      <c r="E17" s="561"/>
      <c r="F17" s="561"/>
      <c r="G17" s="561"/>
      <c r="H17" s="561"/>
      <c r="I17" s="562"/>
      <c r="J17" s="561"/>
      <c r="K17" s="561"/>
      <c r="L17" s="561"/>
      <c r="M17" s="561"/>
      <c r="N17" s="561"/>
      <c r="O17" s="561"/>
      <c r="P17" s="561"/>
      <c r="Q17" s="561">
        <v>12641</v>
      </c>
      <c r="R17" s="561">
        <v>12349</v>
      </c>
      <c r="S17" s="362">
        <f t="shared" si="0"/>
        <v>0.9769005616644253</v>
      </c>
    </row>
    <row r="18" spans="1:19" ht="12.75">
      <c r="A18" s="45" t="s">
        <v>460</v>
      </c>
      <c r="B18" s="366" t="s">
        <v>484</v>
      </c>
      <c r="C18" s="561"/>
      <c r="D18" s="561"/>
      <c r="E18" s="561"/>
      <c r="F18" s="561"/>
      <c r="G18" s="561"/>
      <c r="H18" s="561"/>
      <c r="I18" s="562"/>
      <c r="J18" s="561"/>
      <c r="K18" s="561"/>
      <c r="L18" s="561"/>
      <c r="M18" s="561"/>
      <c r="N18" s="561"/>
      <c r="O18" s="561"/>
      <c r="P18" s="561"/>
      <c r="Q18" s="561"/>
      <c r="R18" s="561"/>
      <c r="S18" s="362"/>
    </row>
    <row r="19" spans="1:19" s="369" customFormat="1" ht="12.75">
      <c r="A19" s="367">
        <v>51</v>
      </c>
      <c r="B19" s="368" t="s">
        <v>173</v>
      </c>
      <c r="C19" s="371">
        <v>397403</v>
      </c>
      <c r="D19" s="371"/>
      <c r="E19" s="371"/>
      <c r="F19" s="371"/>
      <c r="G19" s="371"/>
      <c r="H19" s="371"/>
      <c r="I19" s="565"/>
      <c r="J19" s="371"/>
      <c r="K19" s="371"/>
      <c r="L19" s="371"/>
      <c r="M19" s="371"/>
      <c r="N19" s="371"/>
      <c r="O19" s="371"/>
      <c r="P19" s="371"/>
      <c r="Q19" s="371">
        <v>366319</v>
      </c>
      <c r="R19" s="371">
        <v>356551</v>
      </c>
      <c r="S19" s="565">
        <f t="shared" si="0"/>
        <v>0.9733347164629735</v>
      </c>
    </row>
    <row r="20" spans="1:19" s="369" customFormat="1" ht="12.75">
      <c r="A20" s="367">
        <v>52</v>
      </c>
      <c r="B20" s="368" t="s">
        <v>24</v>
      </c>
      <c r="C20" s="371"/>
      <c r="D20" s="371"/>
      <c r="E20" s="371"/>
      <c r="F20" s="371"/>
      <c r="G20" s="371"/>
      <c r="H20" s="371"/>
      <c r="I20" s="565"/>
      <c r="J20" s="371"/>
      <c r="K20" s="371"/>
      <c r="L20" s="371"/>
      <c r="M20" s="371"/>
      <c r="N20" s="371"/>
      <c r="O20" s="371"/>
      <c r="P20" s="371"/>
      <c r="Q20" s="371"/>
      <c r="R20" s="371"/>
      <c r="S20" s="370"/>
    </row>
    <row r="21" spans="1:19" s="369" customFormat="1" ht="12.75">
      <c r="A21" s="367">
        <v>53</v>
      </c>
      <c r="B21" s="368" t="s">
        <v>25</v>
      </c>
      <c r="C21" s="371">
        <v>16706</v>
      </c>
      <c r="D21" s="371"/>
      <c r="E21" s="371"/>
      <c r="F21" s="371"/>
      <c r="G21" s="371"/>
      <c r="H21" s="371"/>
      <c r="I21" s="565"/>
      <c r="J21" s="371"/>
      <c r="K21" s="371"/>
      <c r="L21" s="371"/>
      <c r="M21" s="371"/>
      <c r="N21" s="371"/>
      <c r="O21" s="371"/>
      <c r="P21" s="371"/>
      <c r="Q21" s="371">
        <v>86172</v>
      </c>
      <c r="R21" s="371">
        <v>40316</v>
      </c>
      <c r="S21" s="370">
        <f t="shared" si="0"/>
        <v>0.46785498769902056</v>
      </c>
    </row>
    <row r="22" spans="1:19" ht="12.75">
      <c r="A22" s="45" t="s">
        <v>463</v>
      </c>
      <c r="B22" s="25" t="s">
        <v>434</v>
      </c>
      <c r="C22" s="561">
        <v>4000</v>
      </c>
      <c r="D22" s="561"/>
      <c r="E22" s="561"/>
      <c r="F22" s="561"/>
      <c r="G22" s="561"/>
      <c r="H22" s="561"/>
      <c r="I22" s="562"/>
      <c r="J22" s="561"/>
      <c r="K22" s="561"/>
      <c r="L22" s="561"/>
      <c r="M22" s="561"/>
      <c r="N22" s="561"/>
      <c r="O22" s="561"/>
      <c r="P22" s="561"/>
      <c r="Q22" s="561">
        <v>2603</v>
      </c>
      <c r="R22" s="561"/>
      <c r="S22" s="362">
        <f t="shared" si="0"/>
        <v>0</v>
      </c>
    </row>
    <row r="23" spans="1:19" ht="13.5" thickBot="1">
      <c r="A23" s="45" t="s">
        <v>464</v>
      </c>
      <c r="B23" s="22" t="s">
        <v>26</v>
      </c>
      <c r="C23" s="561">
        <v>30798</v>
      </c>
      <c r="D23" s="561"/>
      <c r="E23" s="561"/>
      <c r="F23" s="561"/>
      <c r="G23" s="561"/>
      <c r="H23" s="561"/>
      <c r="I23" s="562"/>
      <c r="J23" s="561"/>
      <c r="K23" s="561"/>
      <c r="L23" s="561"/>
      <c r="M23" s="561"/>
      <c r="N23" s="561"/>
      <c r="O23" s="561"/>
      <c r="P23" s="561"/>
      <c r="Q23" s="561">
        <v>76392</v>
      </c>
      <c r="R23" s="561"/>
      <c r="S23" s="362">
        <f t="shared" si="0"/>
        <v>0</v>
      </c>
    </row>
    <row r="24" spans="1:19" ht="13.5" thickBot="1">
      <c r="A24" s="48" t="s">
        <v>447</v>
      </c>
      <c r="B24" s="372" t="s">
        <v>511</v>
      </c>
      <c r="C24" s="566">
        <f>SUM(C5,C9,C10,C17,C18,C22:C23)</f>
        <v>388911</v>
      </c>
      <c r="D24" s="566">
        <f>SUM(D5,D9,D10,D17,D18,D22:D23)</f>
        <v>0</v>
      </c>
      <c r="E24" s="566">
        <f>+C24+D24</f>
        <v>388911</v>
      </c>
      <c r="F24" s="566">
        <f>SUM(F5,F9,F10,F17,F18,F22:F23)</f>
        <v>0</v>
      </c>
      <c r="G24" s="566">
        <f>+E24+F24</f>
        <v>388911</v>
      </c>
      <c r="H24" s="566">
        <f>SUM(H5,H9,H10,H17,H18,H22:H23)</f>
        <v>0</v>
      </c>
      <c r="I24" s="567">
        <f>+H24/G24</f>
        <v>0</v>
      </c>
      <c r="J24" s="566">
        <f>SUM(J5,J9,J10,J17,J18,J22:J23)</f>
        <v>0</v>
      </c>
      <c r="K24" s="566">
        <f>+G24+J24</f>
        <v>388911</v>
      </c>
      <c r="L24" s="566">
        <f>SUM(L5,L9,L10,L17,L18,L22:L23)</f>
        <v>0</v>
      </c>
      <c r="M24" s="566">
        <f>+K24+L24</f>
        <v>388911</v>
      </c>
      <c r="N24" s="566">
        <f>SUM(N5,N9,N10,N17,N18,N22:N23)</f>
        <v>0</v>
      </c>
      <c r="O24" s="566">
        <f>+M24+N24</f>
        <v>388911</v>
      </c>
      <c r="P24" s="566">
        <f>SUM(P5,P9,P10,P17,P18,P22:P23)</f>
        <v>0</v>
      </c>
      <c r="Q24" s="566">
        <f>+O24+P24</f>
        <v>388911</v>
      </c>
      <c r="R24" s="566">
        <f>SUM(R5,R9,R10,R17,R18,R22:R23)</f>
        <v>429608</v>
      </c>
      <c r="S24" s="374">
        <f t="shared" si="0"/>
        <v>1.104643478842203</v>
      </c>
    </row>
    <row r="25" spans="1:19" ht="12.75">
      <c r="A25" s="10"/>
      <c r="B25" s="15"/>
      <c r="C25" s="568"/>
      <c r="D25" s="568"/>
      <c r="E25" s="568">
        <f>+C25+D25</f>
        <v>0</v>
      </c>
      <c r="F25" s="568"/>
      <c r="G25" s="568">
        <f>+E25+F25</f>
        <v>0</v>
      </c>
      <c r="H25" s="568"/>
      <c r="I25" s="564"/>
      <c r="J25" s="568"/>
      <c r="K25" s="568">
        <f>+G25+J25</f>
        <v>0</v>
      </c>
      <c r="L25" s="568"/>
      <c r="M25" s="568">
        <f>+K25+L25</f>
        <v>0</v>
      </c>
      <c r="N25" s="568"/>
      <c r="O25" s="568">
        <f>+M25+N25</f>
        <v>0</v>
      </c>
      <c r="P25" s="568"/>
      <c r="Q25" s="568">
        <f>+O25+P25</f>
        <v>0</v>
      </c>
      <c r="R25" s="568"/>
      <c r="S25" s="364"/>
    </row>
    <row r="26" spans="1:19" ht="12.75">
      <c r="A26" s="45" t="s">
        <v>468</v>
      </c>
      <c r="B26" s="25" t="s">
        <v>485</v>
      </c>
      <c r="C26" s="569"/>
      <c r="D26" s="569"/>
      <c r="E26" s="569"/>
      <c r="F26" s="569"/>
      <c r="G26" s="569"/>
      <c r="H26" s="569"/>
      <c r="I26" s="570"/>
      <c r="J26" s="569"/>
      <c r="K26" s="569"/>
      <c r="L26" s="569"/>
      <c r="M26" s="569"/>
      <c r="N26" s="569"/>
      <c r="O26" s="569"/>
      <c r="P26" s="569"/>
      <c r="Q26" s="569"/>
      <c r="R26" s="569"/>
      <c r="S26" s="375"/>
    </row>
    <row r="27" spans="1:19" ht="12.75">
      <c r="A27" s="45" t="s">
        <v>452</v>
      </c>
      <c r="B27" s="19" t="s">
        <v>486</v>
      </c>
      <c r="C27" s="371">
        <v>707109</v>
      </c>
      <c r="D27" s="371"/>
      <c r="E27" s="371"/>
      <c r="F27" s="371"/>
      <c r="G27" s="371"/>
      <c r="H27" s="371"/>
      <c r="I27" s="565"/>
      <c r="J27" s="371"/>
      <c r="K27" s="371"/>
      <c r="L27" s="371"/>
      <c r="M27" s="371"/>
      <c r="N27" s="371"/>
      <c r="O27" s="371"/>
      <c r="P27" s="371"/>
      <c r="Q27" s="371">
        <v>443814</v>
      </c>
      <c r="R27" s="371">
        <v>262487</v>
      </c>
      <c r="S27" s="370">
        <f t="shared" si="0"/>
        <v>0.5914347001221232</v>
      </c>
    </row>
    <row r="28" spans="1:19" ht="12.75">
      <c r="A28" s="45" t="s">
        <v>455</v>
      </c>
      <c r="B28" s="72" t="s">
        <v>428</v>
      </c>
      <c r="C28" s="371">
        <v>186225</v>
      </c>
      <c r="D28" s="371"/>
      <c r="E28" s="371"/>
      <c r="F28" s="371"/>
      <c r="G28" s="371"/>
      <c r="H28" s="371"/>
      <c r="I28" s="565"/>
      <c r="J28" s="371"/>
      <c r="K28" s="371"/>
      <c r="L28" s="371"/>
      <c r="M28" s="371"/>
      <c r="N28" s="371"/>
      <c r="O28" s="371"/>
      <c r="P28" s="371"/>
      <c r="Q28" s="371">
        <v>169262</v>
      </c>
      <c r="R28" s="371">
        <v>60892</v>
      </c>
      <c r="S28" s="370">
        <f t="shared" si="0"/>
        <v>0.3597499734139972</v>
      </c>
    </row>
    <row r="29" spans="1:19" ht="13.5" thickBot="1">
      <c r="A29" s="45" t="s">
        <v>457</v>
      </c>
      <c r="B29" s="19" t="s">
        <v>28</v>
      </c>
      <c r="C29" s="371"/>
      <c r="D29" s="371"/>
      <c r="E29" s="371"/>
      <c r="F29" s="371"/>
      <c r="G29" s="371"/>
      <c r="H29" s="371"/>
      <c r="I29" s="565"/>
      <c r="J29" s="371"/>
      <c r="K29" s="371"/>
      <c r="L29" s="371"/>
      <c r="M29" s="371"/>
      <c r="N29" s="371"/>
      <c r="O29" s="371"/>
      <c r="P29" s="371"/>
      <c r="Q29" s="371">
        <v>1700</v>
      </c>
      <c r="R29" s="371">
        <v>1700</v>
      </c>
      <c r="S29" s="370">
        <f t="shared" si="0"/>
        <v>1</v>
      </c>
    </row>
    <row r="30" spans="1:19" ht="13.5" thickBot="1">
      <c r="A30" s="49" t="s">
        <v>468</v>
      </c>
      <c r="B30" s="94" t="s">
        <v>487</v>
      </c>
      <c r="C30" s="566">
        <f>SUM(C27:C29)</f>
        <v>893334</v>
      </c>
      <c r="D30" s="566">
        <f>SUM(D27:D29)</f>
        <v>0</v>
      </c>
      <c r="E30" s="566">
        <f>SUM(E27:E29)</f>
        <v>0</v>
      </c>
      <c r="F30" s="566">
        <f>SUM(F27:F29)</f>
        <v>0</v>
      </c>
      <c r="G30" s="566">
        <f>+E30+F30</f>
        <v>0</v>
      </c>
      <c r="H30" s="566">
        <f>SUM(H27:H29)</f>
        <v>0</v>
      </c>
      <c r="I30" s="567" t="e">
        <f>+H30/G30</f>
        <v>#DIV/0!</v>
      </c>
      <c r="J30" s="566">
        <f>SUM(J27:J29)</f>
        <v>0</v>
      </c>
      <c r="K30" s="566">
        <f>+G30+J30</f>
        <v>0</v>
      </c>
      <c r="L30" s="566">
        <f>SUM(L27:L29)</f>
        <v>0</v>
      </c>
      <c r="M30" s="566">
        <f>+K30+L30</f>
        <v>0</v>
      </c>
      <c r="N30" s="566">
        <f>SUM(N27:N29)</f>
        <v>0</v>
      </c>
      <c r="O30" s="566">
        <f>+M30+N30</f>
        <v>0</v>
      </c>
      <c r="P30" s="566">
        <f>SUM(P27:P29)</f>
        <v>0</v>
      </c>
      <c r="Q30" s="566">
        <f>SUM(Q27:Q29)</f>
        <v>614776</v>
      </c>
      <c r="R30" s="566">
        <f>SUM(R27:R29)</f>
        <v>325079</v>
      </c>
      <c r="S30" s="374">
        <f t="shared" si="0"/>
        <v>0.5287763347951123</v>
      </c>
    </row>
    <row r="31" spans="1:19" ht="12.75">
      <c r="A31" s="45" t="s">
        <v>473</v>
      </c>
      <c r="B31" s="25" t="s">
        <v>488</v>
      </c>
      <c r="C31" s="569"/>
      <c r="D31" s="569"/>
      <c r="E31" s="569"/>
      <c r="F31" s="569"/>
      <c r="G31" s="569"/>
      <c r="H31" s="569"/>
      <c r="I31" s="570"/>
      <c r="J31" s="569"/>
      <c r="K31" s="569">
        <f>+G31+J31</f>
        <v>0</v>
      </c>
      <c r="L31" s="569"/>
      <c r="M31" s="569">
        <f>+K31+L31</f>
        <v>0</v>
      </c>
      <c r="N31" s="569"/>
      <c r="O31" s="569">
        <f>+M31+N31</f>
        <v>0</v>
      </c>
      <c r="P31" s="569"/>
      <c r="Q31" s="569">
        <f>+O31+P31</f>
        <v>0</v>
      </c>
      <c r="R31" s="569"/>
      <c r="S31" s="375"/>
    </row>
    <row r="32" spans="1:19" ht="12.75">
      <c r="A32" s="45" t="s">
        <v>449</v>
      </c>
      <c r="B32" s="376" t="s">
        <v>429</v>
      </c>
      <c r="C32" s="561">
        <v>107020</v>
      </c>
      <c r="D32" s="561"/>
      <c r="E32" s="561"/>
      <c r="F32" s="561"/>
      <c r="G32" s="561"/>
      <c r="H32" s="561"/>
      <c r="I32" s="562"/>
      <c r="J32" s="561"/>
      <c r="K32" s="561"/>
      <c r="L32" s="561"/>
      <c r="M32" s="561"/>
      <c r="N32" s="561"/>
      <c r="O32" s="561"/>
      <c r="P32" s="561"/>
      <c r="Q32" s="561">
        <v>235844</v>
      </c>
      <c r="R32" s="561"/>
      <c r="S32" s="362">
        <f t="shared" si="0"/>
        <v>0</v>
      </c>
    </row>
    <row r="33" spans="1:19" ht="12.75">
      <c r="A33" s="50"/>
      <c r="B33" s="377" t="s">
        <v>489</v>
      </c>
      <c r="C33" s="571"/>
      <c r="D33" s="571"/>
      <c r="E33" s="571"/>
      <c r="F33" s="571"/>
      <c r="G33" s="571"/>
      <c r="H33" s="571"/>
      <c r="I33" s="572"/>
      <c r="J33" s="571"/>
      <c r="K33" s="571"/>
      <c r="L33" s="571"/>
      <c r="M33" s="571"/>
      <c r="N33" s="571"/>
      <c r="O33" s="571"/>
      <c r="P33" s="571"/>
      <c r="Q33" s="571"/>
      <c r="R33" s="571"/>
      <c r="S33" s="378"/>
    </row>
    <row r="34" spans="1:19" ht="12.75">
      <c r="A34" s="50"/>
      <c r="B34" s="377" t="s">
        <v>490</v>
      </c>
      <c r="C34" s="573"/>
      <c r="D34" s="573"/>
      <c r="E34" s="573"/>
      <c r="F34" s="573"/>
      <c r="G34" s="573"/>
      <c r="H34" s="573"/>
      <c r="I34" s="574"/>
      <c r="J34" s="573"/>
      <c r="K34" s="573"/>
      <c r="L34" s="573"/>
      <c r="M34" s="573"/>
      <c r="N34" s="573"/>
      <c r="O34" s="573"/>
      <c r="P34" s="573"/>
      <c r="Q34" s="573"/>
      <c r="R34" s="573"/>
      <c r="S34" s="379"/>
    </row>
    <row r="35" spans="1:19" ht="12.75">
      <c r="A35" s="50"/>
      <c r="B35" s="377" t="s">
        <v>422</v>
      </c>
      <c r="C35" s="573"/>
      <c r="D35" s="573"/>
      <c r="E35" s="573"/>
      <c r="F35" s="573"/>
      <c r="G35" s="573"/>
      <c r="H35" s="573"/>
      <c r="I35" s="574"/>
      <c r="J35" s="573"/>
      <c r="K35" s="573"/>
      <c r="L35" s="573"/>
      <c r="M35" s="573"/>
      <c r="N35" s="573"/>
      <c r="O35" s="573"/>
      <c r="P35" s="573"/>
      <c r="Q35" s="573"/>
      <c r="R35" s="573"/>
      <c r="S35" s="379"/>
    </row>
    <row r="36" spans="1:19" ht="12.75">
      <c r="A36" s="45"/>
      <c r="B36" s="380" t="s">
        <v>491</v>
      </c>
      <c r="C36" s="569"/>
      <c r="D36" s="569"/>
      <c r="E36" s="569"/>
      <c r="F36" s="569"/>
      <c r="G36" s="569"/>
      <c r="H36" s="569"/>
      <c r="I36" s="570"/>
      <c r="J36" s="569"/>
      <c r="K36" s="569"/>
      <c r="L36" s="569"/>
      <c r="M36" s="569"/>
      <c r="N36" s="569"/>
      <c r="O36" s="569"/>
      <c r="P36" s="569"/>
      <c r="Q36" s="569"/>
      <c r="R36" s="569"/>
      <c r="S36" s="375"/>
    </row>
    <row r="37" spans="1:19" ht="12.75">
      <c r="A37" s="50" t="s">
        <v>452</v>
      </c>
      <c r="B37" s="377" t="s">
        <v>27</v>
      </c>
      <c r="C37" s="573"/>
      <c r="D37" s="573"/>
      <c r="E37" s="573"/>
      <c r="F37" s="573"/>
      <c r="G37" s="573"/>
      <c r="H37" s="573"/>
      <c r="I37" s="574"/>
      <c r="J37" s="573"/>
      <c r="K37" s="573"/>
      <c r="L37" s="573"/>
      <c r="M37" s="573"/>
      <c r="N37" s="573"/>
      <c r="O37" s="573"/>
      <c r="P37" s="573"/>
      <c r="Q37" s="573"/>
      <c r="R37" s="573"/>
      <c r="S37" s="379"/>
    </row>
    <row r="38" spans="1:19" ht="13.5" thickBot="1">
      <c r="A38" s="50"/>
      <c r="B38" s="377" t="s">
        <v>501</v>
      </c>
      <c r="C38" s="573">
        <v>24545</v>
      </c>
      <c r="D38" s="573"/>
      <c r="E38" s="573">
        <f>+C38+D38</f>
        <v>24545</v>
      </c>
      <c r="F38" s="573"/>
      <c r="G38" s="573">
        <f>+E38+F38</f>
        <v>24545</v>
      </c>
      <c r="H38" s="573"/>
      <c r="I38" s="574"/>
      <c r="J38" s="573"/>
      <c r="K38" s="573">
        <f>+G38+J38</f>
        <v>24545</v>
      </c>
      <c r="L38" s="573"/>
      <c r="M38" s="573">
        <f>+K38+L38</f>
        <v>24545</v>
      </c>
      <c r="N38" s="573"/>
      <c r="O38" s="573">
        <f>+M38+N38</f>
        <v>24545</v>
      </c>
      <c r="P38" s="573"/>
      <c r="Q38" s="573">
        <v>43629</v>
      </c>
      <c r="R38" s="573">
        <v>47786</v>
      </c>
      <c r="S38" s="379"/>
    </row>
    <row r="39" spans="1:19" ht="13.5" thickBot="1">
      <c r="A39" s="49" t="s">
        <v>473</v>
      </c>
      <c r="B39" s="94" t="s">
        <v>492</v>
      </c>
      <c r="C39" s="566">
        <f>C32</f>
        <v>107020</v>
      </c>
      <c r="D39" s="566">
        <f>D32</f>
        <v>0</v>
      </c>
      <c r="E39" s="566">
        <f>+C39+D39</f>
        <v>107020</v>
      </c>
      <c r="F39" s="566">
        <f>F32</f>
        <v>0</v>
      </c>
      <c r="G39" s="566">
        <f>+E39+F39</f>
        <v>107020</v>
      </c>
      <c r="H39" s="566">
        <f>H32</f>
        <v>0</v>
      </c>
      <c r="I39" s="567">
        <f>+H39/G39</f>
        <v>0</v>
      </c>
      <c r="J39" s="566">
        <f>J32</f>
        <v>0</v>
      </c>
      <c r="K39" s="566">
        <f>+G39+J39</f>
        <v>107020</v>
      </c>
      <c r="L39" s="566">
        <f>L32</f>
        <v>0</v>
      </c>
      <c r="M39" s="566">
        <f>+K39+L39</f>
        <v>107020</v>
      </c>
      <c r="N39" s="566">
        <f>N32</f>
        <v>0</v>
      </c>
      <c r="O39" s="566">
        <f>+M39+N39</f>
        <v>107020</v>
      </c>
      <c r="P39" s="566">
        <f>P32</f>
        <v>0</v>
      </c>
      <c r="Q39" s="566">
        <f>+O39+P39</f>
        <v>107020</v>
      </c>
      <c r="R39" s="566">
        <f>R32</f>
        <v>0</v>
      </c>
      <c r="S39" s="374">
        <f t="shared" si="0"/>
        <v>0</v>
      </c>
    </row>
    <row r="40" spans="1:19" ht="13.5" thickBot="1">
      <c r="A40" s="381" t="s">
        <v>474</v>
      </c>
      <c r="B40" s="382" t="s">
        <v>493</v>
      </c>
      <c r="C40" s="566"/>
      <c r="D40" s="566"/>
      <c r="E40" s="566"/>
      <c r="F40" s="566"/>
      <c r="G40" s="566"/>
      <c r="H40" s="566"/>
      <c r="I40" s="567"/>
      <c r="J40" s="566"/>
      <c r="K40" s="566"/>
      <c r="L40" s="566"/>
      <c r="M40" s="566"/>
      <c r="N40" s="566"/>
      <c r="O40" s="566"/>
      <c r="P40" s="566"/>
      <c r="Q40" s="566"/>
      <c r="R40" s="566"/>
      <c r="S40" s="383"/>
    </row>
    <row r="41" spans="1:19" ht="13.5" thickBot="1">
      <c r="A41" s="150" t="s">
        <v>474</v>
      </c>
      <c r="B41" s="94" t="s">
        <v>494</v>
      </c>
      <c r="C41" s="373"/>
      <c r="D41" s="373"/>
      <c r="E41" s="373"/>
      <c r="F41" s="373"/>
      <c r="G41" s="373"/>
      <c r="H41" s="373"/>
      <c r="I41" s="374"/>
      <c r="J41" s="373"/>
      <c r="K41" s="373"/>
      <c r="L41" s="373"/>
      <c r="M41" s="373"/>
      <c r="N41" s="373"/>
      <c r="O41" s="373"/>
      <c r="P41" s="373"/>
      <c r="Q41" s="373"/>
      <c r="R41" s="373">
        <v>589</v>
      </c>
      <c r="S41" s="374"/>
    </row>
    <row r="42" spans="1:19" ht="18" customHeight="1" thickBot="1">
      <c r="A42" s="51"/>
      <c r="B42" s="384" t="s">
        <v>495</v>
      </c>
      <c r="C42" s="385">
        <f>C5+C9+C10+C17+C19+C21+C22+C23+C30+C32+C38</f>
        <v>1827919</v>
      </c>
      <c r="D42" s="385">
        <f aca="true" t="shared" si="1" ref="D42:Q42">D5+D9+D10+D17+D19+D21+D22+D23+D30+D32+D38</f>
        <v>0</v>
      </c>
      <c r="E42" s="385">
        <f t="shared" si="1"/>
        <v>24545</v>
      </c>
      <c r="F42" s="385">
        <f t="shared" si="1"/>
        <v>0</v>
      </c>
      <c r="G42" s="385">
        <f t="shared" si="1"/>
        <v>24545</v>
      </c>
      <c r="H42" s="385">
        <f t="shared" si="1"/>
        <v>0</v>
      </c>
      <c r="I42" s="385" t="e">
        <f t="shared" si="1"/>
        <v>#DIV/0!</v>
      </c>
      <c r="J42" s="385">
        <f t="shared" si="1"/>
        <v>0</v>
      </c>
      <c r="K42" s="385">
        <f t="shared" si="1"/>
        <v>24545</v>
      </c>
      <c r="L42" s="385">
        <f t="shared" si="1"/>
        <v>0</v>
      </c>
      <c r="M42" s="385">
        <f t="shared" si="1"/>
        <v>24545</v>
      </c>
      <c r="N42" s="385">
        <f t="shared" si="1"/>
        <v>0</v>
      </c>
      <c r="O42" s="385">
        <f t="shared" si="1"/>
        <v>24545</v>
      </c>
      <c r="P42" s="385">
        <f t="shared" si="1"/>
        <v>0</v>
      </c>
      <c r="Q42" s="385">
        <f t="shared" si="1"/>
        <v>1858695</v>
      </c>
      <c r="R42" s="385">
        <f>R5+R9+R10+R17+R19+R21+R22+R23+R30+R32+R38+R41</f>
        <v>1199929</v>
      </c>
      <c r="S42" s="386">
        <f t="shared" si="0"/>
        <v>0.6455760627752267</v>
      </c>
    </row>
    <row r="43" spans="1:19" ht="18.75" customHeight="1" thickBot="1">
      <c r="A43" s="5"/>
      <c r="B43" s="41"/>
      <c r="C43" s="387"/>
      <c r="D43" s="387"/>
      <c r="E43" s="388">
        <f>+C43+D43</f>
        <v>0</v>
      </c>
      <c r="F43" s="387"/>
      <c r="G43" s="388">
        <f>+C43+F43</f>
        <v>0</v>
      </c>
      <c r="H43" s="387"/>
      <c r="I43" s="389"/>
      <c r="J43" s="387"/>
      <c r="K43" s="387">
        <f>+G43+J43</f>
        <v>0</v>
      </c>
      <c r="L43" s="387"/>
      <c r="M43" s="387">
        <f>+K43+L43</f>
        <v>0</v>
      </c>
      <c r="N43" s="387"/>
      <c r="O43" s="387">
        <f>+M43+N43</f>
        <v>0</v>
      </c>
      <c r="P43" s="387"/>
      <c r="Q43" s="387">
        <f>+O43+P43</f>
        <v>0</v>
      </c>
      <c r="R43" s="387"/>
      <c r="S43" s="395"/>
    </row>
    <row r="44" spans="1:19" ht="12.75">
      <c r="A44" s="5"/>
      <c r="B44" s="146" t="s">
        <v>6</v>
      </c>
      <c r="C44" s="390">
        <v>7</v>
      </c>
      <c r="D44" s="390"/>
      <c r="E44" s="390">
        <f>+C44+D44</f>
        <v>7</v>
      </c>
      <c r="F44" s="390"/>
      <c r="G44" s="390">
        <f>+C44+F44</f>
        <v>7</v>
      </c>
      <c r="H44" s="390">
        <v>7</v>
      </c>
      <c r="I44" s="391">
        <f>+H44/G44</f>
        <v>1</v>
      </c>
      <c r="J44" s="390">
        <v>-2</v>
      </c>
      <c r="K44" s="390">
        <f>+G44+J44</f>
        <v>5</v>
      </c>
      <c r="L44" s="390">
        <v>-1</v>
      </c>
      <c r="M44" s="390">
        <f>+K44+L44</f>
        <v>4</v>
      </c>
      <c r="N44" s="390"/>
      <c r="O44" s="390">
        <f>+M44+N44</f>
        <v>4</v>
      </c>
      <c r="P44" s="390"/>
      <c r="Q44" s="390">
        <f>+O44+P44</f>
        <v>4</v>
      </c>
      <c r="R44" s="390">
        <v>4</v>
      </c>
      <c r="S44" s="391">
        <f t="shared" si="0"/>
        <v>1</v>
      </c>
    </row>
    <row r="45" spans="1:19" ht="13.5" thickBot="1">
      <c r="A45" s="154"/>
      <c r="B45" s="103" t="s">
        <v>7</v>
      </c>
      <c r="C45" s="392">
        <v>7</v>
      </c>
      <c r="D45" s="392"/>
      <c r="E45" s="392">
        <f>+C45+D45</f>
        <v>7</v>
      </c>
      <c r="F45" s="392"/>
      <c r="G45" s="392">
        <f>+C45+F45</f>
        <v>7</v>
      </c>
      <c r="H45" s="392">
        <v>6</v>
      </c>
      <c r="I45" s="393">
        <f>+H45/G45</f>
        <v>0.8571428571428571</v>
      </c>
      <c r="J45" s="392">
        <v>-2</v>
      </c>
      <c r="K45" s="392">
        <f>+G45+J45</f>
        <v>5</v>
      </c>
      <c r="L45" s="392">
        <v>-1</v>
      </c>
      <c r="M45" s="392">
        <f>+K45+L45</f>
        <v>4</v>
      </c>
      <c r="N45" s="392"/>
      <c r="O45" s="392">
        <f>+M45+N45</f>
        <v>4</v>
      </c>
      <c r="P45" s="392"/>
      <c r="Q45" s="392">
        <f>+O45+P45</f>
        <v>4</v>
      </c>
      <c r="R45" s="392">
        <v>2</v>
      </c>
      <c r="S45" s="393">
        <f t="shared" si="0"/>
        <v>0.5</v>
      </c>
    </row>
    <row r="46" spans="2:3" ht="12.75">
      <c r="B46" s="36"/>
      <c r="C46" s="52"/>
    </row>
    <row r="47" spans="2:18" ht="12.75">
      <c r="B47" s="53"/>
      <c r="C47" s="149"/>
      <c r="K47" s="40"/>
      <c r="M47" s="40"/>
      <c r="O47" s="40"/>
      <c r="Q47" s="40"/>
      <c r="R47" s="40"/>
    </row>
    <row r="48" ht="12.75">
      <c r="B48" s="36"/>
    </row>
    <row r="49" ht="12.75">
      <c r="B49" s="36"/>
    </row>
    <row r="50" ht="12.75">
      <c r="B50" s="36"/>
    </row>
  </sheetData>
  <sheetProtection/>
  <printOptions horizontalCentered="1"/>
  <pageMargins left="0.6299212598425197" right="0.4724409448818898" top="0.9448818897637796" bottom="0.5511811023622047" header="0.5118110236220472" footer="0.2755905511811024"/>
  <pageSetup fitToHeight="1" fitToWidth="1" horizontalDpi="600" verticalDpi="600" orientation="landscape" paperSize="9" scale="83" r:id="rId1"/>
  <headerFooter alignWithMargins="0">
    <oddHeader>&amp;L3. sz.melléklet&amp;C&amp;"Arial,Félkövér"&amp;12Nagykovácsi Nagyközség Önkormányzatának
2013. 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Q30"/>
  <sheetViews>
    <sheetView zoomScalePageLayoutView="0" workbookViewId="0" topLeftCell="A22">
      <selection activeCell="B39" sqref="B39"/>
    </sheetView>
  </sheetViews>
  <sheetFormatPr defaultColWidth="9.140625" defaultRowHeight="12.75"/>
  <cols>
    <col min="1" max="1" width="8.140625" style="769" customWidth="1"/>
    <col min="2" max="2" width="68.7109375" style="769" bestFit="1" customWidth="1"/>
    <col min="3" max="3" width="13.7109375" style="769" customWidth="1"/>
    <col min="4" max="4" width="13.7109375" style="769" hidden="1" customWidth="1"/>
    <col min="5" max="5" width="15.140625" style="769" hidden="1" customWidth="1"/>
    <col min="6" max="6" width="13.7109375" style="769" hidden="1" customWidth="1"/>
    <col min="7" max="9" width="16.7109375" style="769" hidden="1" customWidth="1"/>
    <col min="10" max="10" width="13.7109375" style="769" hidden="1" customWidth="1"/>
    <col min="11" max="11" width="16.7109375" style="769" hidden="1" customWidth="1"/>
    <col min="12" max="12" width="13.7109375" style="769" hidden="1" customWidth="1"/>
    <col min="13" max="13" width="14.7109375" style="769" hidden="1" customWidth="1"/>
    <col min="14" max="14" width="13.7109375" style="769" hidden="1" customWidth="1"/>
    <col min="15" max="15" width="18.28125" style="769" hidden="1" customWidth="1"/>
    <col min="16" max="16" width="18.28125" style="769" customWidth="1"/>
    <col min="17" max="17" width="13.7109375" style="769" bestFit="1" customWidth="1"/>
  </cols>
  <sheetData>
    <row r="1" spans="1:17" ht="15.75">
      <c r="A1" s="885" t="s">
        <v>633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</row>
    <row r="2" ht="15.75" thickBot="1">
      <c r="B2" s="770"/>
    </row>
    <row r="3" spans="1:17" ht="12.75">
      <c r="A3" s="771" t="s">
        <v>500</v>
      </c>
      <c r="B3" s="772" t="s">
        <v>498</v>
      </c>
      <c r="C3" s="773" t="s">
        <v>618</v>
      </c>
      <c r="D3" s="773" t="s">
        <v>47</v>
      </c>
      <c r="E3" s="773" t="s">
        <v>48</v>
      </c>
      <c r="F3" s="773" t="s">
        <v>203</v>
      </c>
      <c r="G3" s="773" t="s">
        <v>49</v>
      </c>
      <c r="H3" s="774" t="s">
        <v>212</v>
      </c>
      <c r="I3" s="774" t="s">
        <v>213</v>
      </c>
      <c r="J3" s="773" t="s">
        <v>50</v>
      </c>
      <c r="K3" s="773" t="s">
        <v>51</v>
      </c>
      <c r="L3" s="773" t="s">
        <v>52</v>
      </c>
      <c r="M3" s="773" t="s">
        <v>53</v>
      </c>
      <c r="N3" s="773" t="s">
        <v>54</v>
      </c>
      <c r="O3" s="773" t="s">
        <v>619</v>
      </c>
      <c r="P3" s="773" t="s">
        <v>618</v>
      </c>
      <c r="Q3" s="798" t="s">
        <v>618</v>
      </c>
    </row>
    <row r="4" spans="1:17" ht="13.5" thickBot="1">
      <c r="A4" s="775"/>
      <c r="B4" s="776"/>
      <c r="C4" s="777" t="s">
        <v>425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 t="s">
        <v>141</v>
      </c>
      <c r="Q4" s="799" t="s">
        <v>620</v>
      </c>
    </row>
    <row r="5" spans="1:17" ht="12.75">
      <c r="A5" s="778">
        <v>1</v>
      </c>
      <c r="B5" s="779" t="s">
        <v>105</v>
      </c>
      <c r="C5" s="780">
        <v>1000000</v>
      </c>
      <c r="D5" s="780"/>
      <c r="E5" s="780">
        <f aca="true" t="shared" si="0" ref="E5:E10">+C5+D5</f>
        <v>1000000</v>
      </c>
      <c r="F5" s="780"/>
      <c r="G5" s="780">
        <f aca="true" t="shared" si="1" ref="G5:G10">+E5+F5</f>
        <v>1000000</v>
      </c>
      <c r="H5" s="780"/>
      <c r="I5" s="781">
        <f aca="true" t="shared" si="2" ref="I5:I10">+H5/G5</f>
        <v>0</v>
      </c>
      <c r="J5" s="780"/>
      <c r="K5" s="780">
        <f aca="true" t="shared" si="3" ref="K5:K10">+G5+J5</f>
        <v>1000000</v>
      </c>
      <c r="L5" s="780"/>
      <c r="M5" s="780">
        <f aca="true" t="shared" si="4" ref="M5:M10">+K5+L5</f>
        <v>1000000</v>
      </c>
      <c r="N5" s="780"/>
      <c r="O5" s="780">
        <f aca="true" t="shared" si="5" ref="O5:O27">+M5+N5</f>
        <v>1000000</v>
      </c>
      <c r="P5" s="780">
        <v>1400000</v>
      </c>
      <c r="Q5" s="800">
        <v>1400000</v>
      </c>
    </row>
    <row r="6" spans="1:17" ht="12.75">
      <c r="A6" s="782">
        <v>2</v>
      </c>
      <c r="B6" s="783" t="s">
        <v>56</v>
      </c>
      <c r="C6" s="784">
        <v>2120000</v>
      </c>
      <c r="D6" s="784"/>
      <c r="E6" s="780">
        <f t="shared" si="0"/>
        <v>2120000</v>
      </c>
      <c r="F6" s="784"/>
      <c r="G6" s="784">
        <f t="shared" si="1"/>
        <v>2120000</v>
      </c>
      <c r="H6" s="784"/>
      <c r="I6" s="785">
        <f t="shared" si="2"/>
        <v>0</v>
      </c>
      <c r="J6" s="784"/>
      <c r="K6" s="784">
        <f t="shared" si="3"/>
        <v>2120000</v>
      </c>
      <c r="L6" s="784"/>
      <c r="M6" s="784">
        <f t="shared" si="4"/>
        <v>2120000</v>
      </c>
      <c r="N6" s="784"/>
      <c r="O6" s="784">
        <f t="shared" si="5"/>
        <v>2120000</v>
      </c>
      <c r="P6" s="784"/>
      <c r="Q6" s="801">
        <v>1591625</v>
      </c>
    </row>
    <row r="7" spans="1:17" ht="12.75">
      <c r="A7" s="782">
        <v>3</v>
      </c>
      <c r="B7" s="786" t="s">
        <v>103</v>
      </c>
      <c r="C7" s="784">
        <v>2000000</v>
      </c>
      <c r="D7" s="784"/>
      <c r="E7" s="780">
        <f t="shared" si="0"/>
        <v>2000000</v>
      </c>
      <c r="F7" s="784"/>
      <c r="G7" s="784">
        <f t="shared" si="1"/>
        <v>2000000</v>
      </c>
      <c r="H7" s="784"/>
      <c r="I7" s="785">
        <f t="shared" si="2"/>
        <v>0</v>
      </c>
      <c r="J7" s="784"/>
      <c r="K7" s="784">
        <f t="shared" si="3"/>
        <v>2000000</v>
      </c>
      <c r="L7" s="784"/>
      <c r="M7" s="784">
        <f t="shared" si="4"/>
        <v>2000000</v>
      </c>
      <c r="N7" s="784"/>
      <c r="O7" s="784">
        <f t="shared" si="5"/>
        <v>2000000</v>
      </c>
      <c r="P7" s="784"/>
      <c r="Q7" s="801">
        <v>2000000</v>
      </c>
    </row>
    <row r="8" spans="1:17" ht="12.75">
      <c r="A8" s="782">
        <v>4</v>
      </c>
      <c r="B8" s="786" t="s">
        <v>104</v>
      </c>
      <c r="C8" s="784">
        <v>1000000</v>
      </c>
      <c r="D8" s="784"/>
      <c r="E8" s="780">
        <f t="shared" si="0"/>
        <v>1000000</v>
      </c>
      <c r="F8" s="784"/>
      <c r="G8" s="784">
        <f t="shared" si="1"/>
        <v>1000000</v>
      </c>
      <c r="H8" s="784"/>
      <c r="I8" s="785">
        <f t="shared" si="2"/>
        <v>0</v>
      </c>
      <c r="J8" s="784"/>
      <c r="K8" s="784">
        <f t="shared" si="3"/>
        <v>1000000</v>
      </c>
      <c r="L8" s="784"/>
      <c r="M8" s="784">
        <f t="shared" si="4"/>
        <v>1000000</v>
      </c>
      <c r="N8" s="784"/>
      <c r="O8" s="784">
        <f t="shared" si="5"/>
        <v>1000000</v>
      </c>
      <c r="P8" s="784"/>
      <c r="Q8" s="801">
        <v>1000000</v>
      </c>
    </row>
    <row r="9" spans="1:17" ht="12.75">
      <c r="A9" s="782">
        <v>5</v>
      </c>
      <c r="B9" s="787" t="s">
        <v>621</v>
      </c>
      <c r="C9" s="788">
        <v>1610000</v>
      </c>
      <c r="D9" s="788"/>
      <c r="E9" s="780">
        <f t="shared" si="0"/>
        <v>1610000</v>
      </c>
      <c r="F9" s="788"/>
      <c r="G9" s="788">
        <f t="shared" si="1"/>
        <v>1610000</v>
      </c>
      <c r="H9" s="788"/>
      <c r="I9" s="789">
        <f t="shared" si="2"/>
        <v>0</v>
      </c>
      <c r="J9" s="788"/>
      <c r="K9" s="788">
        <f t="shared" si="3"/>
        <v>1610000</v>
      </c>
      <c r="L9" s="788"/>
      <c r="M9" s="788">
        <f t="shared" si="4"/>
        <v>1610000</v>
      </c>
      <c r="N9" s="788"/>
      <c r="O9" s="788">
        <f t="shared" si="5"/>
        <v>1610000</v>
      </c>
      <c r="P9" s="788"/>
      <c r="Q9" s="801">
        <v>1405000</v>
      </c>
    </row>
    <row r="10" spans="1:17" ht="12.75">
      <c r="A10" s="782">
        <v>6</v>
      </c>
      <c r="B10" s="787" t="s">
        <v>622</v>
      </c>
      <c r="C10" s="788">
        <v>1500000</v>
      </c>
      <c r="D10" s="788"/>
      <c r="E10" s="780">
        <f t="shared" si="0"/>
        <v>1500000</v>
      </c>
      <c r="F10" s="788"/>
      <c r="G10" s="788">
        <f t="shared" si="1"/>
        <v>1500000</v>
      </c>
      <c r="H10" s="788"/>
      <c r="I10" s="789">
        <f t="shared" si="2"/>
        <v>0</v>
      </c>
      <c r="J10" s="788"/>
      <c r="K10" s="788">
        <f t="shared" si="3"/>
        <v>1500000</v>
      </c>
      <c r="L10" s="788"/>
      <c r="M10" s="788">
        <f t="shared" si="4"/>
        <v>1500000</v>
      </c>
      <c r="N10" s="788"/>
      <c r="O10" s="788">
        <f t="shared" si="5"/>
        <v>1500000</v>
      </c>
      <c r="P10" s="788"/>
      <c r="Q10" s="801">
        <v>1500000</v>
      </c>
    </row>
    <row r="11" spans="1:17" ht="12.75">
      <c r="A11" s="782">
        <v>7</v>
      </c>
      <c r="B11" s="787" t="s">
        <v>623</v>
      </c>
      <c r="C11" s="788">
        <v>1200000</v>
      </c>
      <c r="D11" s="788"/>
      <c r="E11" s="780"/>
      <c r="F11" s="788"/>
      <c r="G11" s="788"/>
      <c r="H11" s="788"/>
      <c r="I11" s="789"/>
      <c r="J11" s="788"/>
      <c r="K11" s="788"/>
      <c r="L11" s="788"/>
      <c r="M11" s="788"/>
      <c r="N11" s="788"/>
      <c r="O11" s="788">
        <f t="shared" si="5"/>
        <v>0</v>
      </c>
      <c r="P11" s="788"/>
      <c r="Q11" s="801">
        <v>1200000</v>
      </c>
    </row>
    <row r="12" spans="1:17" ht="12.75">
      <c r="A12" s="782">
        <v>8</v>
      </c>
      <c r="B12" s="787" t="s">
        <v>58</v>
      </c>
      <c r="C12" s="788">
        <v>300000</v>
      </c>
      <c r="D12" s="788"/>
      <c r="E12" s="802">
        <f aca="true" t="shared" si="6" ref="E12:E27">+C12+D12</f>
        <v>300000</v>
      </c>
      <c r="F12" s="788"/>
      <c r="G12" s="788">
        <f aca="true" t="shared" si="7" ref="G12:G27">+E12+F12</f>
        <v>300000</v>
      </c>
      <c r="H12" s="788"/>
      <c r="I12" s="789">
        <f aca="true" t="shared" si="8" ref="I12:I27">+H12/G12</f>
        <v>0</v>
      </c>
      <c r="J12" s="788"/>
      <c r="K12" s="788">
        <f aca="true" t="shared" si="9" ref="K12:K27">+G12+J12</f>
        <v>300000</v>
      </c>
      <c r="L12" s="788"/>
      <c r="M12" s="788">
        <f aca="true" t="shared" si="10" ref="M12:M27">+K12+L12</f>
        <v>300000</v>
      </c>
      <c r="N12" s="788"/>
      <c r="O12" s="788">
        <f t="shared" si="5"/>
        <v>300000</v>
      </c>
      <c r="P12" s="788">
        <v>500000</v>
      </c>
      <c r="Q12" s="801">
        <v>500000</v>
      </c>
    </row>
    <row r="13" spans="1:17" ht="12.75">
      <c r="A13" s="782">
        <v>9</v>
      </c>
      <c r="B13" s="787" t="s">
        <v>624</v>
      </c>
      <c r="C13" s="788">
        <v>900000</v>
      </c>
      <c r="D13" s="788"/>
      <c r="E13" s="802">
        <f t="shared" si="6"/>
        <v>900000</v>
      </c>
      <c r="F13" s="788"/>
      <c r="G13" s="788">
        <f t="shared" si="7"/>
        <v>900000</v>
      </c>
      <c r="H13" s="788"/>
      <c r="I13" s="789">
        <f t="shared" si="8"/>
        <v>0</v>
      </c>
      <c r="J13" s="788"/>
      <c r="K13" s="788">
        <f t="shared" si="9"/>
        <v>900000</v>
      </c>
      <c r="L13" s="788"/>
      <c r="M13" s="788">
        <f t="shared" si="10"/>
        <v>900000</v>
      </c>
      <c r="N13" s="788"/>
      <c r="O13" s="788">
        <f t="shared" si="5"/>
        <v>900000</v>
      </c>
      <c r="P13" s="788"/>
      <c r="Q13" s="801">
        <v>900000</v>
      </c>
    </row>
    <row r="14" spans="1:17" ht="12.75">
      <c r="A14" s="782"/>
      <c r="B14" s="787" t="s">
        <v>634</v>
      </c>
      <c r="C14" s="788"/>
      <c r="D14" s="788"/>
      <c r="E14" s="802"/>
      <c r="F14" s="788"/>
      <c r="G14" s="788"/>
      <c r="H14" s="788"/>
      <c r="I14" s="789"/>
      <c r="J14" s="788"/>
      <c r="K14" s="788"/>
      <c r="L14" s="788"/>
      <c r="M14" s="788"/>
      <c r="N14" s="788"/>
      <c r="O14" s="788"/>
      <c r="P14" s="788"/>
      <c r="Q14" s="801"/>
    </row>
    <row r="15" spans="1:17" ht="12.75">
      <c r="A15" s="782"/>
      <c r="B15" s="787" t="s">
        <v>635</v>
      </c>
      <c r="C15" s="788"/>
      <c r="D15" s="788"/>
      <c r="E15" s="802"/>
      <c r="F15" s="788"/>
      <c r="G15" s="788"/>
      <c r="H15" s="788"/>
      <c r="I15" s="789"/>
      <c r="J15" s="788"/>
      <c r="K15" s="788"/>
      <c r="L15" s="788"/>
      <c r="M15" s="788"/>
      <c r="N15" s="788"/>
      <c r="O15" s="788"/>
      <c r="P15" s="788"/>
      <c r="Q15" s="801"/>
    </row>
    <row r="16" spans="1:17" ht="12.75">
      <c r="A16" s="782"/>
      <c r="B16" s="787" t="s">
        <v>636</v>
      </c>
      <c r="C16" s="788"/>
      <c r="D16" s="788"/>
      <c r="E16" s="802"/>
      <c r="F16" s="788"/>
      <c r="G16" s="788"/>
      <c r="H16" s="788"/>
      <c r="I16" s="789"/>
      <c r="J16" s="788"/>
      <c r="K16" s="788"/>
      <c r="L16" s="788"/>
      <c r="M16" s="788"/>
      <c r="N16" s="788"/>
      <c r="O16" s="788"/>
      <c r="P16" s="788"/>
      <c r="Q16" s="801"/>
    </row>
    <row r="17" spans="1:17" ht="12.75">
      <c r="A17" s="782">
        <v>10</v>
      </c>
      <c r="B17" s="787" t="s">
        <v>625</v>
      </c>
      <c r="C17" s="788">
        <v>300000</v>
      </c>
      <c r="D17" s="788"/>
      <c r="E17" s="802">
        <f t="shared" si="6"/>
        <v>300000</v>
      </c>
      <c r="F17" s="788"/>
      <c r="G17" s="788">
        <f t="shared" si="7"/>
        <v>300000</v>
      </c>
      <c r="H17" s="788"/>
      <c r="I17" s="789">
        <f t="shared" si="8"/>
        <v>0</v>
      </c>
      <c r="J17" s="788"/>
      <c r="K17" s="788">
        <f t="shared" si="9"/>
        <v>300000</v>
      </c>
      <c r="L17" s="788"/>
      <c r="M17" s="788">
        <f t="shared" si="10"/>
        <v>300000</v>
      </c>
      <c r="N17" s="788"/>
      <c r="O17" s="788">
        <f t="shared" si="5"/>
        <v>300000</v>
      </c>
      <c r="P17" s="788"/>
      <c r="Q17" s="801">
        <v>300000</v>
      </c>
    </row>
    <row r="18" spans="1:17" ht="12.75">
      <c r="A18" s="782"/>
      <c r="B18" s="787" t="s">
        <v>637</v>
      </c>
      <c r="C18" s="788"/>
      <c r="D18" s="788"/>
      <c r="E18" s="802"/>
      <c r="F18" s="788"/>
      <c r="G18" s="788"/>
      <c r="H18" s="788"/>
      <c r="I18" s="789"/>
      <c r="J18" s="788"/>
      <c r="K18" s="788"/>
      <c r="L18" s="788"/>
      <c r="M18" s="788"/>
      <c r="N18" s="788"/>
      <c r="O18" s="788"/>
      <c r="P18" s="788"/>
      <c r="Q18" s="801"/>
    </row>
    <row r="19" spans="1:17" ht="12.75">
      <c r="A19" s="782"/>
      <c r="B19" s="787" t="s">
        <v>638</v>
      </c>
      <c r="C19" s="788"/>
      <c r="D19" s="788"/>
      <c r="E19" s="802"/>
      <c r="F19" s="788"/>
      <c r="G19" s="788"/>
      <c r="H19" s="788"/>
      <c r="I19" s="789"/>
      <c r="J19" s="788"/>
      <c r="K19" s="788"/>
      <c r="L19" s="788"/>
      <c r="M19" s="788"/>
      <c r="N19" s="788"/>
      <c r="O19" s="788"/>
      <c r="P19" s="788"/>
      <c r="Q19" s="801"/>
    </row>
    <row r="20" spans="1:17" ht="12.75">
      <c r="A20" s="782">
        <v>11</v>
      </c>
      <c r="B20" s="787" t="s">
        <v>626</v>
      </c>
      <c r="C20" s="788">
        <v>100000</v>
      </c>
      <c r="D20" s="788"/>
      <c r="E20" s="802">
        <f t="shared" si="6"/>
        <v>100000</v>
      </c>
      <c r="F20" s="788"/>
      <c r="G20" s="788">
        <f t="shared" si="7"/>
        <v>100000</v>
      </c>
      <c r="H20" s="788"/>
      <c r="I20" s="789">
        <f t="shared" si="8"/>
        <v>0</v>
      </c>
      <c r="J20" s="788"/>
      <c r="K20" s="788">
        <f t="shared" si="9"/>
        <v>100000</v>
      </c>
      <c r="L20" s="788"/>
      <c r="M20" s="788">
        <f t="shared" si="10"/>
        <v>100000</v>
      </c>
      <c r="N20" s="788"/>
      <c r="O20" s="788">
        <f t="shared" si="5"/>
        <v>100000</v>
      </c>
      <c r="P20" s="788"/>
      <c r="Q20" s="801">
        <v>100000</v>
      </c>
    </row>
    <row r="21" spans="1:17" ht="12.75">
      <c r="A21" s="782">
        <v>12</v>
      </c>
      <c r="B21" s="787" t="s">
        <v>627</v>
      </c>
      <c r="C21" s="788">
        <v>250000</v>
      </c>
      <c r="D21" s="788"/>
      <c r="E21" s="802">
        <f t="shared" si="6"/>
        <v>250000</v>
      </c>
      <c r="F21" s="788"/>
      <c r="G21" s="788">
        <f t="shared" si="7"/>
        <v>250000</v>
      </c>
      <c r="H21" s="788"/>
      <c r="I21" s="789">
        <f t="shared" si="8"/>
        <v>0</v>
      </c>
      <c r="J21" s="788"/>
      <c r="K21" s="788">
        <f t="shared" si="9"/>
        <v>250000</v>
      </c>
      <c r="L21" s="788"/>
      <c r="M21" s="788">
        <f t="shared" si="10"/>
        <v>250000</v>
      </c>
      <c r="N21" s="788"/>
      <c r="O21" s="788">
        <f t="shared" si="5"/>
        <v>250000</v>
      </c>
      <c r="P21" s="788">
        <v>650000</v>
      </c>
      <c r="Q21" s="801">
        <v>650000</v>
      </c>
    </row>
    <row r="22" spans="1:17" ht="12.75">
      <c r="A22" s="782">
        <v>13</v>
      </c>
      <c r="B22" s="787" t="s">
        <v>628</v>
      </c>
      <c r="C22" s="788">
        <v>100000</v>
      </c>
      <c r="D22" s="788"/>
      <c r="E22" s="802">
        <f t="shared" si="6"/>
        <v>100000</v>
      </c>
      <c r="F22" s="788"/>
      <c r="G22" s="788">
        <f t="shared" si="7"/>
        <v>100000</v>
      </c>
      <c r="H22" s="788"/>
      <c r="I22" s="789">
        <f t="shared" si="8"/>
        <v>0</v>
      </c>
      <c r="J22" s="788"/>
      <c r="K22" s="788">
        <f t="shared" si="9"/>
        <v>100000</v>
      </c>
      <c r="L22" s="788"/>
      <c r="M22" s="788">
        <f t="shared" si="10"/>
        <v>100000</v>
      </c>
      <c r="N22" s="788"/>
      <c r="O22" s="788">
        <f t="shared" si="5"/>
        <v>100000</v>
      </c>
      <c r="P22" s="788"/>
      <c r="Q22" s="801">
        <v>100000</v>
      </c>
    </row>
    <row r="23" spans="1:17" ht="12.75">
      <c r="A23" s="782">
        <v>14</v>
      </c>
      <c r="B23" s="787" t="s">
        <v>629</v>
      </c>
      <c r="C23" s="788">
        <v>100000</v>
      </c>
      <c r="D23" s="788"/>
      <c r="E23" s="802">
        <f t="shared" si="6"/>
        <v>100000</v>
      </c>
      <c r="F23" s="788"/>
      <c r="G23" s="788">
        <f t="shared" si="7"/>
        <v>100000</v>
      </c>
      <c r="H23" s="788"/>
      <c r="I23" s="789">
        <f t="shared" si="8"/>
        <v>0</v>
      </c>
      <c r="J23" s="788"/>
      <c r="K23" s="788">
        <f t="shared" si="9"/>
        <v>100000</v>
      </c>
      <c r="L23" s="788"/>
      <c r="M23" s="788">
        <f t="shared" si="10"/>
        <v>100000</v>
      </c>
      <c r="N23" s="788"/>
      <c r="O23" s="788">
        <f t="shared" si="5"/>
        <v>100000</v>
      </c>
      <c r="P23" s="788"/>
      <c r="Q23" s="801">
        <v>100000</v>
      </c>
    </row>
    <row r="24" spans="1:17" ht="12.75">
      <c r="A24" s="782">
        <v>15</v>
      </c>
      <c r="B24" s="787" t="s">
        <v>630</v>
      </c>
      <c r="C24" s="788">
        <v>50000</v>
      </c>
      <c r="D24" s="788"/>
      <c r="E24" s="802">
        <f t="shared" si="6"/>
        <v>50000</v>
      </c>
      <c r="F24" s="788"/>
      <c r="G24" s="788">
        <f t="shared" si="7"/>
        <v>50000</v>
      </c>
      <c r="H24" s="788"/>
      <c r="I24" s="789">
        <f t="shared" si="8"/>
        <v>0</v>
      </c>
      <c r="J24" s="788"/>
      <c r="K24" s="788">
        <f t="shared" si="9"/>
        <v>50000</v>
      </c>
      <c r="L24" s="788"/>
      <c r="M24" s="788">
        <f t="shared" si="10"/>
        <v>50000</v>
      </c>
      <c r="N24" s="788"/>
      <c r="O24" s="788">
        <f t="shared" si="5"/>
        <v>50000</v>
      </c>
      <c r="P24" s="788"/>
      <c r="Q24" s="801">
        <v>46172</v>
      </c>
    </row>
    <row r="25" spans="1:17" ht="12.75">
      <c r="A25" s="782">
        <v>16</v>
      </c>
      <c r="B25" s="787" t="s">
        <v>631</v>
      </c>
      <c r="C25" s="788">
        <v>48400</v>
      </c>
      <c r="D25" s="788"/>
      <c r="E25" s="802">
        <f t="shared" si="6"/>
        <v>48400</v>
      </c>
      <c r="F25" s="788"/>
      <c r="G25" s="788">
        <f t="shared" si="7"/>
        <v>48400</v>
      </c>
      <c r="H25" s="788"/>
      <c r="I25" s="789">
        <f t="shared" si="8"/>
        <v>0</v>
      </c>
      <c r="J25" s="788"/>
      <c r="K25" s="788">
        <f t="shared" si="9"/>
        <v>48400</v>
      </c>
      <c r="L25" s="788"/>
      <c r="M25" s="788">
        <f t="shared" si="10"/>
        <v>48400</v>
      </c>
      <c r="N25" s="788"/>
      <c r="O25" s="788">
        <f t="shared" si="5"/>
        <v>48400</v>
      </c>
      <c r="P25" s="788"/>
      <c r="Q25" s="801">
        <v>48400</v>
      </c>
    </row>
    <row r="26" spans="1:17" ht="12.75">
      <c r="A26" s="782">
        <v>17</v>
      </c>
      <c r="B26" s="787" t="s">
        <v>73</v>
      </c>
      <c r="C26" s="788">
        <v>200000</v>
      </c>
      <c r="D26" s="788"/>
      <c r="E26" s="802">
        <f t="shared" si="6"/>
        <v>200000</v>
      </c>
      <c r="F26" s="788"/>
      <c r="G26" s="788">
        <f t="shared" si="7"/>
        <v>200000</v>
      </c>
      <c r="H26" s="788"/>
      <c r="I26" s="789">
        <f t="shared" si="8"/>
        <v>0</v>
      </c>
      <c r="J26" s="788"/>
      <c r="K26" s="788">
        <f t="shared" si="9"/>
        <v>200000</v>
      </c>
      <c r="L26" s="788"/>
      <c r="M26" s="788">
        <f t="shared" si="10"/>
        <v>200000</v>
      </c>
      <c r="N26" s="788"/>
      <c r="O26" s="788">
        <f t="shared" si="5"/>
        <v>200000</v>
      </c>
      <c r="P26" s="788"/>
      <c r="Q26" s="801">
        <v>200000</v>
      </c>
    </row>
    <row r="27" spans="1:17" ht="12.75">
      <c r="A27" s="782">
        <v>18</v>
      </c>
      <c r="B27" s="787" t="s">
        <v>632</v>
      </c>
      <c r="C27" s="788">
        <v>50000</v>
      </c>
      <c r="D27" s="788"/>
      <c r="E27" s="802">
        <f t="shared" si="6"/>
        <v>50000</v>
      </c>
      <c r="F27" s="788"/>
      <c r="G27" s="788">
        <f t="shared" si="7"/>
        <v>50000</v>
      </c>
      <c r="H27" s="788"/>
      <c r="I27" s="789">
        <f t="shared" si="8"/>
        <v>0</v>
      </c>
      <c r="J27" s="788"/>
      <c r="K27" s="788">
        <f t="shared" si="9"/>
        <v>50000</v>
      </c>
      <c r="L27" s="788"/>
      <c r="M27" s="788">
        <f t="shared" si="10"/>
        <v>50000</v>
      </c>
      <c r="N27" s="788"/>
      <c r="O27" s="788">
        <f t="shared" si="5"/>
        <v>50000</v>
      </c>
      <c r="P27" s="788"/>
      <c r="Q27" s="801">
        <v>50000</v>
      </c>
    </row>
    <row r="28" spans="1:17" ht="13.5" thickBot="1">
      <c r="A28" s="782">
        <v>19</v>
      </c>
      <c r="B28" s="787" t="s">
        <v>639</v>
      </c>
      <c r="C28" s="788">
        <v>736600</v>
      </c>
      <c r="D28" s="788"/>
      <c r="E28" s="802"/>
      <c r="F28" s="788"/>
      <c r="G28" s="788"/>
      <c r="H28" s="788"/>
      <c r="I28" s="789"/>
      <c r="J28" s="788"/>
      <c r="K28" s="788"/>
      <c r="L28" s="788"/>
      <c r="M28" s="788"/>
      <c r="N28" s="788"/>
      <c r="O28" s="788"/>
      <c r="P28" s="788"/>
      <c r="Q28" s="803">
        <v>736600</v>
      </c>
    </row>
    <row r="29" spans="1:17" ht="13.5" thickBot="1">
      <c r="A29" s="790"/>
      <c r="B29" s="791" t="s">
        <v>76</v>
      </c>
      <c r="C29" s="792">
        <f>SUM(C5:C27)</f>
        <v>12828400</v>
      </c>
      <c r="D29" s="792">
        <f aca="true" t="shared" si="11" ref="D29:O29">SUM(D5:D11)</f>
        <v>0</v>
      </c>
      <c r="E29" s="792">
        <f t="shared" si="11"/>
        <v>9230000</v>
      </c>
      <c r="F29" s="792">
        <f t="shared" si="11"/>
        <v>0</v>
      </c>
      <c r="G29" s="792">
        <f t="shared" si="11"/>
        <v>9230000</v>
      </c>
      <c r="H29" s="792">
        <f t="shared" si="11"/>
        <v>0</v>
      </c>
      <c r="I29" s="792">
        <f t="shared" si="11"/>
        <v>0</v>
      </c>
      <c r="J29" s="792">
        <f t="shared" si="11"/>
        <v>0</v>
      </c>
      <c r="K29" s="792">
        <f t="shared" si="11"/>
        <v>9230000</v>
      </c>
      <c r="L29" s="792">
        <f t="shared" si="11"/>
        <v>0</v>
      </c>
      <c r="M29" s="792">
        <f t="shared" si="11"/>
        <v>9230000</v>
      </c>
      <c r="N29" s="792">
        <f t="shared" si="11"/>
        <v>0</v>
      </c>
      <c r="O29" s="792">
        <f t="shared" si="11"/>
        <v>9230000</v>
      </c>
      <c r="P29" s="792">
        <f>SUM(P5:P27)</f>
        <v>2550000</v>
      </c>
      <c r="Q29" s="804">
        <v>13827797</v>
      </c>
    </row>
    <row r="30" spans="1:16" ht="12.75">
      <c r="A30" s="793"/>
      <c r="B30" s="794"/>
      <c r="C30" s="795"/>
      <c r="D30" s="795"/>
      <c r="E30" s="795"/>
      <c r="F30" s="795"/>
      <c r="G30" s="795"/>
      <c r="H30" s="795"/>
      <c r="I30" s="796"/>
      <c r="J30" s="795"/>
      <c r="K30" s="795"/>
      <c r="L30" s="795"/>
      <c r="M30" s="797">
        <f>+K30+L30</f>
        <v>0</v>
      </c>
      <c r="N30" s="795"/>
      <c r="O30" s="795">
        <f>+M30+N30</f>
        <v>0</v>
      </c>
      <c r="P30" s="795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&amp;L3.1. melléklet&amp;Radatok ezer forintban</oddHeader>
    <oddFooter>&amp;L&amp;D&amp;R&amp;F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61"/>
  <sheetViews>
    <sheetView view="pageBreakPreview" zoomScaleNormal="75" zoomScaleSheetLayoutView="100" zoomScalePageLayoutView="0" workbookViewId="0" topLeftCell="A42">
      <selection activeCell="U16" sqref="U16"/>
    </sheetView>
  </sheetViews>
  <sheetFormatPr defaultColWidth="9.140625" defaultRowHeight="12.75"/>
  <cols>
    <col min="1" max="1" width="6.57421875" style="2" customWidth="1"/>
    <col min="2" max="2" width="61.7109375" style="2" customWidth="1"/>
    <col min="3" max="4" width="20.140625" style="2" hidden="1" customWidth="1"/>
    <col min="5" max="5" width="20.28125" style="2" bestFit="1" customWidth="1"/>
    <col min="6" max="6" width="13.8515625" style="396" hidden="1" customWidth="1"/>
    <col min="7" max="20" width="20.140625" style="2" hidden="1" customWidth="1"/>
    <col min="21" max="21" width="20.140625" style="2" customWidth="1"/>
    <col min="22" max="22" width="12.8515625" style="817" hidden="1" customWidth="1"/>
    <col min="23" max="23" width="11.7109375" style="157" hidden="1" customWidth="1"/>
    <col min="24" max="24" width="10.57421875" style="157" hidden="1" customWidth="1"/>
    <col min="25" max="28" width="11.7109375" style="157" hidden="1" customWidth="1"/>
    <col min="29" max="29" width="10.57421875" style="157" hidden="1" customWidth="1"/>
    <col min="30" max="31" width="11.7109375" style="157" hidden="1" customWidth="1"/>
    <col min="32" max="33" width="0" style="2" hidden="1" customWidth="1"/>
    <col min="34" max="16384" width="9.140625" style="2" customWidth="1"/>
  </cols>
  <sheetData>
    <row r="1" spans="1:31" s="6" customFormat="1" ht="32.25" customHeight="1" thickBot="1">
      <c r="A1" s="805" t="s">
        <v>507</v>
      </c>
      <c r="B1" s="806" t="s">
        <v>431</v>
      </c>
      <c r="C1" s="886" t="s">
        <v>640</v>
      </c>
      <c r="D1" s="887"/>
      <c r="E1" s="888"/>
      <c r="F1" s="807"/>
      <c r="G1" s="808"/>
      <c r="H1" s="808"/>
      <c r="I1" s="808"/>
      <c r="J1" s="808"/>
      <c r="K1" s="808"/>
      <c r="L1" s="808"/>
      <c r="M1" s="808"/>
      <c r="N1" s="808"/>
      <c r="O1" s="808"/>
      <c r="P1" s="809"/>
      <c r="Q1" s="808"/>
      <c r="R1" s="809"/>
      <c r="S1" s="809"/>
      <c r="T1" s="809"/>
      <c r="U1" s="808"/>
      <c r="V1" s="810"/>
      <c r="W1" s="811"/>
      <c r="X1" s="811"/>
      <c r="Y1" s="811"/>
      <c r="Z1" s="811"/>
      <c r="AA1" s="811"/>
      <c r="AB1" s="811"/>
      <c r="AC1" s="811"/>
      <c r="AD1" s="811"/>
      <c r="AE1" s="811"/>
    </row>
    <row r="2" spans="1:21" ht="53.25" customHeight="1" thickBot="1">
      <c r="A2" s="812"/>
      <c r="B2" s="813"/>
      <c r="C2" s="61" t="s">
        <v>29</v>
      </c>
      <c r="D2" s="61" t="s">
        <v>118</v>
      </c>
      <c r="E2" s="61" t="s">
        <v>30</v>
      </c>
      <c r="F2" s="814" t="s">
        <v>512</v>
      </c>
      <c r="G2" s="61" t="s">
        <v>31</v>
      </c>
      <c r="H2" s="61" t="s">
        <v>154</v>
      </c>
      <c r="I2" s="61" t="s">
        <v>203</v>
      </c>
      <c r="J2" s="61" t="s">
        <v>32</v>
      </c>
      <c r="K2" s="815" t="s">
        <v>144</v>
      </c>
      <c r="L2" s="815" t="s">
        <v>157</v>
      </c>
      <c r="M2" s="61" t="s">
        <v>33</v>
      </c>
      <c r="N2" s="61" t="s">
        <v>159</v>
      </c>
      <c r="O2" s="816" t="s">
        <v>34</v>
      </c>
      <c r="P2" s="816" t="s">
        <v>161</v>
      </c>
      <c r="Q2" s="816" t="s">
        <v>35</v>
      </c>
      <c r="R2" s="816" t="s">
        <v>163</v>
      </c>
      <c r="S2" s="816" t="s">
        <v>36</v>
      </c>
      <c r="T2" s="61" t="s">
        <v>37</v>
      </c>
      <c r="U2" s="61" t="s">
        <v>675</v>
      </c>
    </row>
    <row r="3" spans="1:21" ht="16.5" customHeight="1" thickBot="1">
      <c r="A3" s="818"/>
      <c r="B3" s="813" t="s">
        <v>496</v>
      </c>
      <c r="C3" s="819"/>
      <c r="D3" s="819"/>
      <c r="E3" s="819"/>
      <c r="F3" s="820"/>
      <c r="G3" s="819"/>
      <c r="H3" s="819"/>
      <c r="I3" s="819"/>
      <c r="J3" s="819"/>
      <c r="K3" s="819"/>
      <c r="L3" s="819"/>
      <c r="M3" s="819"/>
      <c r="N3" s="819"/>
      <c r="O3" s="821"/>
      <c r="P3" s="821"/>
      <c r="Q3" s="821"/>
      <c r="R3" s="821"/>
      <c r="S3" s="821"/>
      <c r="T3" s="819"/>
      <c r="U3" s="819"/>
    </row>
    <row r="4" spans="1:31" ht="12.75">
      <c r="A4" s="822"/>
      <c r="B4" s="823" t="s">
        <v>641</v>
      </c>
      <c r="C4" s="824">
        <v>788</v>
      </c>
      <c r="D4" s="824">
        <f>+C4*0.27-1</f>
        <v>211.76000000000002</v>
      </c>
      <c r="E4" s="824">
        <f aca="true" t="shared" si="0" ref="E4:E11">+C4+D4</f>
        <v>999.76</v>
      </c>
      <c r="F4" s="825">
        <v>8411541</v>
      </c>
      <c r="G4" s="824">
        <v>-1000</v>
      </c>
      <c r="H4" s="824">
        <f aca="true" t="shared" si="1" ref="H4:H11">+E4+G4</f>
        <v>-0.2400000000000091</v>
      </c>
      <c r="I4" s="824"/>
      <c r="J4" s="824">
        <f aca="true" t="shared" si="2" ref="J4:J11">+H4+I4</f>
        <v>-0.2400000000000091</v>
      </c>
      <c r="K4" s="824"/>
      <c r="L4" s="826">
        <f>+K4/J4</f>
        <v>0</v>
      </c>
      <c r="M4" s="824"/>
      <c r="N4" s="824">
        <f>+J4+M4</f>
        <v>-0.2400000000000091</v>
      </c>
      <c r="O4" s="824"/>
      <c r="P4" s="824"/>
      <c r="Q4" s="824"/>
      <c r="R4" s="824">
        <f>+P4+Q4</f>
        <v>0</v>
      </c>
      <c r="S4" s="824"/>
      <c r="T4" s="824">
        <f>+S4-R4</f>
        <v>0</v>
      </c>
      <c r="U4" s="824"/>
      <c r="V4" s="817">
        <f>SUM(W4:AL4)</f>
        <v>0</v>
      </c>
      <c r="W4" s="402"/>
      <c r="X4" s="402"/>
      <c r="Y4" s="402"/>
      <c r="Z4" s="402"/>
      <c r="AA4" s="402"/>
      <c r="AB4" s="402"/>
      <c r="AC4" s="402"/>
      <c r="AD4" s="402"/>
      <c r="AE4" s="402"/>
    </row>
    <row r="5" spans="1:31" s="63" customFormat="1" ht="12.75">
      <c r="A5" s="822"/>
      <c r="B5" s="823" t="s">
        <v>38</v>
      </c>
      <c r="C5" s="824">
        <v>4725</v>
      </c>
      <c r="D5" s="824">
        <f>+C5*0.27-1</f>
        <v>1274.75</v>
      </c>
      <c r="E5" s="824">
        <f t="shared" si="0"/>
        <v>5999.75</v>
      </c>
      <c r="F5" s="825">
        <v>4211001</v>
      </c>
      <c r="G5" s="824"/>
      <c r="H5" s="824">
        <f t="shared" si="1"/>
        <v>5999.75</v>
      </c>
      <c r="I5" s="824"/>
      <c r="J5" s="824">
        <f t="shared" si="2"/>
        <v>5999.75</v>
      </c>
      <c r="K5" s="824"/>
      <c r="L5" s="826">
        <f>+K5/J5</f>
        <v>0</v>
      </c>
      <c r="M5" s="824"/>
      <c r="N5" s="824">
        <f>+J5+M5</f>
        <v>5999.75</v>
      </c>
      <c r="O5" s="824"/>
      <c r="P5" s="824"/>
      <c r="Q5" s="824"/>
      <c r="R5" s="824">
        <f>+P5+Q5</f>
        <v>0</v>
      </c>
      <c r="S5" s="824"/>
      <c r="T5" s="824">
        <f>+S5-R5</f>
        <v>0</v>
      </c>
      <c r="U5" s="824"/>
      <c r="V5" s="817">
        <f aca="true" t="shared" si="3" ref="V5:V44">SUM(W5:AL5)</f>
        <v>0</v>
      </c>
      <c r="W5" s="157"/>
      <c r="X5" s="157"/>
      <c r="Y5" s="157"/>
      <c r="Z5" s="157"/>
      <c r="AA5" s="157"/>
      <c r="AB5" s="157"/>
      <c r="AC5" s="157"/>
      <c r="AD5" s="157"/>
      <c r="AE5" s="157"/>
    </row>
    <row r="6" spans="1:31" s="63" customFormat="1" ht="12.75">
      <c r="A6" s="822"/>
      <c r="B6" s="823" t="s">
        <v>642</v>
      </c>
      <c r="C6" s="824">
        <v>1968</v>
      </c>
      <c r="D6" s="824">
        <f>+C6*0.27+1</f>
        <v>532.36</v>
      </c>
      <c r="E6" s="824">
        <f t="shared" si="0"/>
        <v>2500.36</v>
      </c>
      <c r="F6" s="825">
        <v>8411541</v>
      </c>
      <c r="G6" s="824"/>
      <c r="H6" s="824">
        <f t="shared" si="1"/>
        <v>2500.36</v>
      </c>
      <c r="I6" s="824"/>
      <c r="J6" s="824">
        <f t="shared" si="2"/>
        <v>2500.36</v>
      </c>
      <c r="K6" s="824"/>
      <c r="L6" s="826">
        <f>+K6/J6</f>
        <v>0</v>
      </c>
      <c r="M6" s="824"/>
      <c r="N6" s="824">
        <f>+J6+M6</f>
        <v>2500.36</v>
      </c>
      <c r="O6" s="824"/>
      <c r="P6" s="824"/>
      <c r="Q6" s="824"/>
      <c r="R6" s="824">
        <f>+P6+Q6</f>
        <v>0</v>
      </c>
      <c r="S6" s="824"/>
      <c r="T6" s="824">
        <f>+S6-R6</f>
        <v>0</v>
      </c>
      <c r="U6" s="824"/>
      <c r="V6" s="817">
        <f t="shared" si="3"/>
        <v>0</v>
      </c>
      <c r="W6" s="402"/>
      <c r="X6" s="402"/>
      <c r="Y6" s="402"/>
      <c r="Z6" s="402"/>
      <c r="AA6" s="402"/>
      <c r="AB6" s="402"/>
      <c r="AC6" s="402"/>
      <c r="AD6" s="402"/>
      <c r="AE6" s="402"/>
    </row>
    <row r="7" spans="1:31" s="63" customFormat="1" ht="12.75">
      <c r="A7" s="822"/>
      <c r="B7" s="827" t="s">
        <v>280</v>
      </c>
      <c r="C7" s="824">
        <v>60334</v>
      </c>
      <c r="D7" s="824">
        <f>+C7*0.27</f>
        <v>16290.18</v>
      </c>
      <c r="E7" s="824">
        <f t="shared" si="0"/>
        <v>76624.18</v>
      </c>
      <c r="F7" s="825">
        <v>3700001</v>
      </c>
      <c r="G7" s="824"/>
      <c r="H7" s="824">
        <f t="shared" si="1"/>
        <v>76624.18</v>
      </c>
      <c r="I7" s="824"/>
      <c r="J7" s="824">
        <f t="shared" si="2"/>
        <v>76624.18</v>
      </c>
      <c r="K7" s="824"/>
      <c r="L7" s="826">
        <f>+K7/J7</f>
        <v>0</v>
      </c>
      <c r="M7" s="824"/>
      <c r="N7" s="824">
        <f>+J7+M7</f>
        <v>76624.18</v>
      </c>
      <c r="O7" s="824"/>
      <c r="P7" s="824"/>
      <c r="Q7" s="824"/>
      <c r="R7" s="824">
        <f>+P7+Q7</f>
        <v>0</v>
      </c>
      <c r="S7" s="824"/>
      <c r="T7" s="824">
        <f>+S7-R7</f>
        <v>0</v>
      </c>
      <c r="U7" s="824">
        <v>22288</v>
      </c>
      <c r="V7" s="817">
        <f t="shared" si="3"/>
        <v>16287658</v>
      </c>
      <c r="W7" s="402">
        <v>10506330</v>
      </c>
      <c r="X7" s="402">
        <v>869500</v>
      </c>
      <c r="Y7" s="402">
        <v>170000</v>
      </c>
      <c r="Z7" s="402">
        <v>234765</v>
      </c>
      <c r="AA7" s="402">
        <v>45900</v>
      </c>
      <c r="AB7" s="402">
        <v>395500</v>
      </c>
      <c r="AC7" s="402">
        <v>1608954</v>
      </c>
      <c r="AD7" s="402">
        <v>1811909</v>
      </c>
      <c r="AE7" s="402">
        <v>644800</v>
      </c>
    </row>
    <row r="8" spans="1:31" s="63" customFormat="1" ht="12.75">
      <c r="A8" s="822"/>
      <c r="B8" s="827" t="s">
        <v>643</v>
      </c>
      <c r="C8" s="824">
        <v>1575</v>
      </c>
      <c r="D8" s="824">
        <f>+C8*0.27</f>
        <v>425.25</v>
      </c>
      <c r="E8" s="824">
        <f t="shared" si="0"/>
        <v>2000.25</v>
      </c>
      <c r="F8" s="825"/>
      <c r="G8" s="824"/>
      <c r="H8" s="824">
        <f t="shared" si="1"/>
        <v>2000.25</v>
      </c>
      <c r="I8" s="824"/>
      <c r="J8" s="824">
        <f t="shared" si="2"/>
        <v>2000.25</v>
      </c>
      <c r="K8" s="824"/>
      <c r="L8" s="826"/>
      <c r="M8" s="824"/>
      <c r="N8" s="824"/>
      <c r="O8" s="824"/>
      <c r="P8" s="824"/>
      <c r="Q8" s="824"/>
      <c r="R8" s="824"/>
      <c r="S8" s="824"/>
      <c r="T8" s="824"/>
      <c r="U8" s="824"/>
      <c r="V8" s="817">
        <f t="shared" si="3"/>
        <v>0</v>
      </c>
      <c r="W8" s="402"/>
      <c r="X8" s="402"/>
      <c r="Y8" s="402"/>
      <c r="Z8" s="402"/>
      <c r="AA8" s="402"/>
      <c r="AB8" s="402"/>
      <c r="AC8" s="402"/>
      <c r="AD8" s="402"/>
      <c r="AE8" s="402"/>
    </row>
    <row r="9" spans="1:31" s="63" customFormat="1" ht="12.75">
      <c r="A9" s="822"/>
      <c r="B9" s="827" t="s">
        <v>644</v>
      </c>
      <c r="C9" s="824">
        <v>164557</v>
      </c>
      <c r="D9" s="824">
        <f>+C9*0.27+1</f>
        <v>44431.39</v>
      </c>
      <c r="E9" s="824">
        <f t="shared" si="0"/>
        <v>208988.39</v>
      </c>
      <c r="F9" s="825"/>
      <c r="G9" s="824"/>
      <c r="H9" s="824">
        <f t="shared" si="1"/>
        <v>208988.39</v>
      </c>
      <c r="I9" s="824"/>
      <c r="J9" s="824">
        <f t="shared" si="2"/>
        <v>208988.39</v>
      </c>
      <c r="K9" s="824"/>
      <c r="L9" s="826"/>
      <c r="M9" s="824"/>
      <c r="N9" s="824"/>
      <c r="O9" s="824"/>
      <c r="P9" s="824"/>
      <c r="Q9" s="824"/>
      <c r="R9" s="824">
        <f>+P9+Q9</f>
        <v>0</v>
      </c>
      <c r="S9" s="824"/>
      <c r="T9" s="824">
        <f>+S9-R9</f>
        <v>0</v>
      </c>
      <c r="U9" s="824">
        <v>82339</v>
      </c>
      <c r="V9" s="817">
        <f t="shared" si="3"/>
        <v>82339227</v>
      </c>
      <c r="W9" s="828">
        <v>4488217</v>
      </c>
      <c r="X9" s="402">
        <v>2000000</v>
      </c>
      <c r="Y9" s="402">
        <v>17952868</v>
      </c>
      <c r="Z9" s="402">
        <v>11965531</v>
      </c>
      <c r="AA9" s="402">
        <v>5987337</v>
      </c>
      <c r="AB9" s="402">
        <v>22440084</v>
      </c>
      <c r="AC9" s="828">
        <v>540000</v>
      </c>
      <c r="AD9" s="828">
        <v>16965190</v>
      </c>
      <c r="AE9" s="402"/>
    </row>
    <row r="10" spans="1:31" s="63" customFormat="1" ht="12.75">
      <c r="A10" s="822"/>
      <c r="B10" s="827" t="s">
        <v>638</v>
      </c>
      <c r="C10" s="824">
        <v>16301</v>
      </c>
      <c r="D10" s="824">
        <f>+C10*0.27</f>
        <v>4401.27</v>
      </c>
      <c r="E10" s="824">
        <f t="shared" si="0"/>
        <v>20702.27</v>
      </c>
      <c r="F10" s="825"/>
      <c r="G10" s="824"/>
      <c r="H10" s="824">
        <f t="shared" si="1"/>
        <v>20702.27</v>
      </c>
      <c r="I10" s="824"/>
      <c r="J10" s="824">
        <f t="shared" si="2"/>
        <v>20702.27</v>
      </c>
      <c r="K10" s="824"/>
      <c r="L10" s="826"/>
      <c r="M10" s="824"/>
      <c r="N10" s="824"/>
      <c r="O10" s="824"/>
      <c r="P10" s="824"/>
      <c r="Q10" s="824"/>
      <c r="R10" s="824">
        <f>+P10+Q10</f>
        <v>0</v>
      </c>
      <c r="S10" s="824"/>
      <c r="T10" s="824">
        <f>+S10-R10</f>
        <v>0</v>
      </c>
      <c r="U10" s="824">
        <v>21098</v>
      </c>
      <c r="V10" s="817">
        <f t="shared" si="3"/>
        <v>21098193</v>
      </c>
      <c r="W10" s="402">
        <v>15555000</v>
      </c>
      <c r="X10" s="402">
        <v>777750</v>
      </c>
      <c r="Y10" s="402">
        <v>280000</v>
      </c>
      <c r="Z10" s="402">
        <v>4199850</v>
      </c>
      <c r="AA10" s="402">
        <v>209993</v>
      </c>
      <c r="AB10" s="402">
        <v>75600</v>
      </c>
      <c r="AC10" s="402"/>
      <c r="AD10" s="402"/>
      <c r="AE10" s="402"/>
    </row>
    <row r="11" spans="1:31" s="63" customFormat="1" ht="13.5" thickBot="1">
      <c r="A11" s="822"/>
      <c r="B11" s="827" t="s">
        <v>645</v>
      </c>
      <c r="C11" s="824">
        <v>21496</v>
      </c>
      <c r="D11" s="824">
        <f>+C11*0.27</f>
        <v>5803.92</v>
      </c>
      <c r="E11" s="824">
        <f t="shared" si="0"/>
        <v>27299.92</v>
      </c>
      <c r="F11" s="825"/>
      <c r="G11" s="824"/>
      <c r="H11" s="824">
        <f t="shared" si="1"/>
        <v>27299.92</v>
      </c>
      <c r="I11" s="824"/>
      <c r="J11" s="824">
        <f t="shared" si="2"/>
        <v>27299.92</v>
      </c>
      <c r="K11" s="824"/>
      <c r="L11" s="826"/>
      <c r="M11" s="824"/>
      <c r="N11" s="824"/>
      <c r="O11" s="824"/>
      <c r="P11" s="824"/>
      <c r="Q11" s="824"/>
      <c r="R11" s="824">
        <f>+P11+Q11</f>
        <v>0</v>
      </c>
      <c r="S11" s="824"/>
      <c r="T11" s="824">
        <f>+S11-R11</f>
        <v>0</v>
      </c>
      <c r="U11" s="824"/>
      <c r="V11" s="817">
        <f t="shared" si="3"/>
        <v>0</v>
      </c>
      <c r="W11" s="402"/>
      <c r="X11" s="402"/>
      <c r="Y11" s="402"/>
      <c r="Z11" s="402"/>
      <c r="AA11" s="402"/>
      <c r="AB11" s="402"/>
      <c r="AC11" s="402"/>
      <c r="AD11" s="402"/>
      <c r="AE11" s="402"/>
    </row>
    <row r="12" spans="1:31" s="63" customFormat="1" ht="13.5" thickBot="1">
      <c r="A12" s="829"/>
      <c r="B12" s="830" t="s">
        <v>113</v>
      </c>
      <c r="C12" s="831">
        <f>SUM(C4:C11)</f>
        <v>271744</v>
      </c>
      <c r="D12" s="831">
        <f>SUM(D4:D11)</f>
        <v>73370.88</v>
      </c>
      <c r="E12" s="831">
        <f>SUM(E4:E11)</f>
        <v>345114.88</v>
      </c>
      <c r="F12" s="831"/>
      <c r="G12" s="831">
        <f>SUM(G4:G11)</f>
        <v>-1000</v>
      </c>
      <c r="H12" s="831">
        <f>SUM(H4:H11)</f>
        <v>344114.88</v>
      </c>
      <c r="I12" s="831">
        <f>SUM(I4:I11)</f>
        <v>0</v>
      </c>
      <c r="J12" s="831">
        <f>SUM(J4:J11)</f>
        <v>344114.88</v>
      </c>
      <c r="K12" s="831">
        <f>SUM(K4:K11)</f>
        <v>0</v>
      </c>
      <c r="L12" s="832">
        <f>+K12/J12</f>
        <v>0</v>
      </c>
      <c r="M12" s="831">
        <f>SUM(M4:M7)</f>
        <v>0</v>
      </c>
      <c r="N12" s="831">
        <f>+J12+M12</f>
        <v>344114.88</v>
      </c>
      <c r="O12" s="831">
        <f aca="true" t="shared" si="4" ref="O12:T12">SUM(O4:O11)</f>
        <v>0</v>
      </c>
      <c r="P12" s="831">
        <f t="shared" si="4"/>
        <v>0</v>
      </c>
      <c r="Q12" s="831">
        <f t="shared" si="4"/>
        <v>0</v>
      </c>
      <c r="R12" s="831">
        <f t="shared" si="4"/>
        <v>0</v>
      </c>
      <c r="S12" s="831">
        <f t="shared" si="4"/>
        <v>0</v>
      </c>
      <c r="T12" s="831">
        <f t="shared" si="4"/>
        <v>0</v>
      </c>
      <c r="U12" s="831">
        <f>SUM(U4:U11)</f>
        <v>125725</v>
      </c>
      <c r="V12" s="810">
        <f>SUM(V4:V11)</f>
        <v>119725078</v>
      </c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s="63" customFormat="1" ht="12.75">
      <c r="A13" s="833"/>
      <c r="B13" s="834" t="s">
        <v>111</v>
      </c>
      <c r="C13" s="835"/>
      <c r="D13" s="835"/>
      <c r="E13" s="835"/>
      <c r="F13" s="836"/>
      <c r="G13" s="835"/>
      <c r="H13" s="835">
        <f aca="true" t="shared" si="5" ref="H13:H34">+E13+G13</f>
        <v>0</v>
      </c>
      <c r="I13" s="835"/>
      <c r="J13" s="835">
        <f aca="true" t="shared" si="6" ref="J13:J34">+H13+I13</f>
        <v>0</v>
      </c>
      <c r="K13" s="835"/>
      <c r="L13" s="837"/>
      <c r="M13" s="835"/>
      <c r="N13" s="835">
        <f>+J13+M13</f>
        <v>0</v>
      </c>
      <c r="O13" s="835"/>
      <c r="P13" s="824">
        <f>+N13+O13</f>
        <v>0</v>
      </c>
      <c r="Q13" s="835"/>
      <c r="R13" s="824">
        <f>+P13+Q13</f>
        <v>0</v>
      </c>
      <c r="S13" s="824"/>
      <c r="T13" s="824">
        <f>+S13-R13</f>
        <v>0</v>
      </c>
      <c r="U13" s="835"/>
      <c r="V13" s="817">
        <f t="shared" si="3"/>
        <v>0</v>
      </c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 s="63" customFormat="1" ht="12.75">
      <c r="A14" s="822"/>
      <c r="B14" s="823" t="s">
        <v>39</v>
      </c>
      <c r="C14" s="824">
        <v>20945</v>
      </c>
      <c r="D14" s="824">
        <f aca="true" t="shared" si="7" ref="D14:D19">+C14*0.27</f>
        <v>5655.150000000001</v>
      </c>
      <c r="E14" s="824">
        <f aca="true" t="shared" si="8" ref="E14:E34">+C14+D14</f>
        <v>26600.15</v>
      </c>
      <c r="F14" s="825">
        <v>4211001</v>
      </c>
      <c r="G14" s="824">
        <v>-26600</v>
      </c>
      <c r="H14" s="824">
        <f t="shared" si="5"/>
        <v>0.1500000000014552</v>
      </c>
      <c r="I14" s="824"/>
      <c r="J14" s="824">
        <f t="shared" si="6"/>
        <v>0.1500000000014552</v>
      </c>
      <c r="K14" s="824"/>
      <c r="L14" s="826">
        <f>+K14/J14</f>
        <v>0</v>
      </c>
      <c r="M14" s="824"/>
      <c r="N14" s="824">
        <f>+J14+M14</f>
        <v>0.1500000000014552</v>
      </c>
      <c r="O14" s="824"/>
      <c r="P14" s="824"/>
      <c r="Q14" s="824"/>
      <c r="R14" s="824">
        <f>+P14+Q14</f>
        <v>0</v>
      </c>
      <c r="S14" s="824"/>
      <c r="T14" s="824">
        <f>+S14-R14</f>
        <v>0</v>
      </c>
      <c r="U14" s="824"/>
      <c r="V14" s="817">
        <f t="shared" si="3"/>
        <v>0</v>
      </c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21" customHeight="1">
      <c r="A15" s="822"/>
      <c r="B15" s="827" t="s">
        <v>646</v>
      </c>
      <c r="C15" s="824">
        <v>929</v>
      </c>
      <c r="D15" s="824">
        <f t="shared" si="7"/>
        <v>250.83</v>
      </c>
      <c r="E15" s="824">
        <f t="shared" si="8"/>
        <v>1179.83</v>
      </c>
      <c r="F15" s="825"/>
      <c r="G15" s="824"/>
      <c r="H15" s="824">
        <f t="shared" si="5"/>
        <v>1179.83</v>
      </c>
      <c r="I15" s="824"/>
      <c r="J15" s="824">
        <f t="shared" si="6"/>
        <v>1179.83</v>
      </c>
      <c r="K15" s="824"/>
      <c r="L15" s="826"/>
      <c r="M15" s="824"/>
      <c r="N15" s="824"/>
      <c r="O15" s="824"/>
      <c r="P15" s="824"/>
      <c r="Q15" s="824"/>
      <c r="R15" s="824"/>
      <c r="S15" s="824"/>
      <c r="T15" s="824"/>
      <c r="U15" s="824"/>
      <c r="V15" s="817">
        <f t="shared" si="3"/>
        <v>0</v>
      </c>
      <c r="W15" s="402"/>
      <c r="X15" s="402"/>
      <c r="Y15" s="402"/>
      <c r="Z15" s="402"/>
      <c r="AA15" s="402"/>
      <c r="AB15" s="402"/>
      <c r="AC15" s="402"/>
      <c r="AD15" s="402"/>
      <c r="AE15" s="402"/>
    </row>
    <row r="16" spans="1:22" ht="12.75">
      <c r="A16" s="822"/>
      <c r="B16" s="823" t="s">
        <v>647</v>
      </c>
      <c r="C16" s="824">
        <v>2362</v>
      </c>
      <c r="D16" s="824">
        <f t="shared" si="7"/>
        <v>637.74</v>
      </c>
      <c r="E16" s="824">
        <f t="shared" si="8"/>
        <v>2999.74</v>
      </c>
      <c r="F16" s="825">
        <v>4211001</v>
      </c>
      <c r="G16" s="824">
        <v>-3000</v>
      </c>
      <c r="H16" s="824">
        <f t="shared" si="5"/>
        <v>-0.2600000000002183</v>
      </c>
      <c r="I16" s="824"/>
      <c r="J16" s="824">
        <f t="shared" si="6"/>
        <v>-0.2600000000002183</v>
      </c>
      <c r="K16" s="824"/>
      <c r="L16" s="826">
        <f>+K16/J16</f>
        <v>0</v>
      </c>
      <c r="M16" s="824"/>
      <c r="N16" s="824">
        <f>+J16+M16</f>
        <v>-0.2600000000002183</v>
      </c>
      <c r="O16" s="824"/>
      <c r="P16" s="824"/>
      <c r="Q16" s="824"/>
      <c r="R16" s="824">
        <f>+P16+Q16</f>
        <v>0</v>
      </c>
      <c r="S16" s="824"/>
      <c r="T16" s="824">
        <f>+S16-R16</f>
        <v>0</v>
      </c>
      <c r="U16" s="824"/>
      <c r="V16" s="817">
        <f t="shared" si="3"/>
        <v>0</v>
      </c>
    </row>
    <row r="17" spans="1:22" ht="12.75">
      <c r="A17" s="822"/>
      <c r="B17" s="823" t="s">
        <v>648</v>
      </c>
      <c r="C17" s="824">
        <v>2362</v>
      </c>
      <c r="D17" s="824">
        <f t="shared" si="7"/>
        <v>637.74</v>
      </c>
      <c r="E17" s="824">
        <f t="shared" si="8"/>
        <v>2999.74</v>
      </c>
      <c r="F17" s="825">
        <v>4211001</v>
      </c>
      <c r="G17" s="824">
        <v>-3000</v>
      </c>
      <c r="H17" s="824">
        <f t="shared" si="5"/>
        <v>-0.2600000000002183</v>
      </c>
      <c r="I17" s="824"/>
      <c r="J17" s="824">
        <f t="shared" si="6"/>
        <v>-0.2600000000002183</v>
      </c>
      <c r="K17" s="824"/>
      <c r="L17" s="826">
        <f>+K17/J17</f>
        <v>0</v>
      </c>
      <c r="M17" s="824"/>
      <c r="N17" s="824">
        <f>+J17+M17</f>
        <v>-0.2600000000002183</v>
      </c>
      <c r="O17" s="824"/>
      <c r="P17" s="824"/>
      <c r="Q17" s="824"/>
      <c r="R17" s="824">
        <f>+P17+Q17</f>
        <v>0</v>
      </c>
      <c r="S17" s="824"/>
      <c r="T17" s="824">
        <f>+S17-R17</f>
        <v>0</v>
      </c>
      <c r="U17" s="824"/>
      <c r="V17" s="817">
        <f t="shared" si="3"/>
        <v>0</v>
      </c>
    </row>
    <row r="18" spans="1:28" ht="12.75">
      <c r="A18" s="822"/>
      <c r="B18" s="823" t="s">
        <v>649</v>
      </c>
      <c r="C18" s="824">
        <v>2800</v>
      </c>
      <c r="D18" s="824">
        <f t="shared" si="7"/>
        <v>756</v>
      </c>
      <c r="E18" s="824">
        <f t="shared" si="8"/>
        <v>3556</v>
      </c>
      <c r="F18" s="825"/>
      <c r="G18" s="824"/>
      <c r="H18" s="824">
        <f t="shared" si="5"/>
        <v>3556</v>
      </c>
      <c r="I18" s="824"/>
      <c r="J18" s="824">
        <f t="shared" si="6"/>
        <v>3556</v>
      </c>
      <c r="K18" s="824"/>
      <c r="L18" s="826"/>
      <c r="M18" s="824"/>
      <c r="N18" s="824"/>
      <c r="O18" s="824"/>
      <c r="P18" s="824"/>
      <c r="Q18" s="824"/>
      <c r="R18" s="824"/>
      <c r="S18" s="824"/>
      <c r="T18" s="824"/>
      <c r="U18" s="824">
        <v>3556</v>
      </c>
      <c r="V18" s="817">
        <f t="shared" si="3"/>
        <v>3556000</v>
      </c>
      <c r="W18" s="157">
        <v>350000</v>
      </c>
      <c r="X18" s="157">
        <v>300000</v>
      </c>
      <c r="Y18" s="157">
        <v>2150000</v>
      </c>
      <c r="Z18" s="157">
        <v>94500</v>
      </c>
      <c r="AA18" s="157">
        <v>81000</v>
      </c>
      <c r="AB18" s="157">
        <v>580500</v>
      </c>
    </row>
    <row r="19" spans="1:31" ht="12.75">
      <c r="A19" s="822"/>
      <c r="B19" s="827" t="s">
        <v>650</v>
      </c>
      <c r="C19" s="824">
        <v>5197</v>
      </c>
      <c r="D19" s="824">
        <f t="shared" si="7"/>
        <v>1403.19</v>
      </c>
      <c r="E19" s="824">
        <f t="shared" si="8"/>
        <v>6600.1900000000005</v>
      </c>
      <c r="F19" s="825">
        <v>4211001</v>
      </c>
      <c r="G19" s="824">
        <v>-6600</v>
      </c>
      <c r="H19" s="824">
        <f t="shared" si="5"/>
        <v>0.19000000000050932</v>
      </c>
      <c r="I19" s="824"/>
      <c r="J19" s="824">
        <f t="shared" si="6"/>
        <v>0.19000000000050932</v>
      </c>
      <c r="K19" s="824"/>
      <c r="L19" s="826">
        <f aca="true" t="shared" si="9" ref="L19:L34">+K19/J19</f>
        <v>0</v>
      </c>
      <c r="M19" s="824"/>
      <c r="N19" s="824">
        <f aca="true" t="shared" si="10" ref="N19:N34">+J19+M19</f>
        <v>0.19000000000050932</v>
      </c>
      <c r="O19" s="824"/>
      <c r="P19" s="824"/>
      <c r="Q19" s="824"/>
      <c r="R19" s="824">
        <f aca="true" t="shared" si="11" ref="R19:R34">+P19+Q19</f>
        <v>0</v>
      </c>
      <c r="S19" s="824"/>
      <c r="T19" s="824">
        <f aca="true" t="shared" si="12" ref="T19:T34">+S19-R19</f>
        <v>0</v>
      </c>
      <c r="U19" s="824"/>
      <c r="V19" s="817">
        <f t="shared" si="3"/>
        <v>0</v>
      </c>
      <c r="W19" s="402"/>
      <c r="X19" s="402"/>
      <c r="Y19" s="402"/>
      <c r="Z19" s="402"/>
      <c r="AA19" s="402"/>
      <c r="AB19" s="402"/>
      <c r="AC19" s="402"/>
      <c r="AD19" s="402"/>
      <c r="AE19" s="402"/>
    </row>
    <row r="20" spans="1:24" ht="14.25" customHeight="1">
      <c r="A20" s="822"/>
      <c r="B20" s="823" t="s">
        <v>651</v>
      </c>
      <c r="C20" s="824">
        <v>788</v>
      </c>
      <c r="D20" s="824">
        <f>+C20*0.27-1</f>
        <v>211.76000000000002</v>
      </c>
      <c r="E20" s="824">
        <f t="shared" si="8"/>
        <v>999.76</v>
      </c>
      <c r="F20" s="825">
        <v>8411541</v>
      </c>
      <c r="G20" s="824"/>
      <c r="H20" s="824">
        <f t="shared" si="5"/>
        <v>999.76</v>
      </c>
      <c r="I20" s="824"/>
      <c r="J20" s="824">
        <f t="shared" si="6"/>
        <v>999.76</v>
      </c>
      <c r="K20" s="824"/>
      <c r="L20" s="826">
        <f t="shared" si="9"/>
        <v>0</v>
      </c>
      <c r="M20" s="824"/>
      <c r="N20" s="824">
        <f t="shared" si="10"/>
        <v>999.76</v>
      </c>
      <c r="O20" s="824"/>
      <c r="P20" s="824"/>
      <c r="Q20" s="824"/>
      <c r="R20" s="824">
        <f t="shared" si="11"/>
        <v>0</v>
      </c>
      <c r="S20" s="824"/>
      <c r="T20" s="824">
        <f t="shared" si="12"/>
        <v>0</v>
      </c>
      <c r="U20" s="824">
        <v>1381</v>
      </c>
      <c r="V20" s="817">
        <f t="shared" si="3"/>
        <v>1380973</v>
      </c>
      <c r="W20" s="157">
        <v>1087380</v>
      </c>
      <c r="X20" s="157">
        <v>293593</v>
      </c>
    </row>
    <row r="21" spans="1:22" ht="14.25" customHeight="1">
      <c r="A21" s="822"/>
      <c r="B21" s="823" t="s">
        <v>652</v>
      </c>
      <c r="C21" s="824">
        <v>788</v>
      </c>
      <c r="D21" s="824">
        <f>+C21*0.27-1</f>
        <v>211.76000000000002</v>
      </c>
      <c r="E21" s="824">
        <f t="shared" si="8"/>
        <v>999.76</v>
      </c>
      <c r="F21" s="825">
        <v>8411541</v>
      </c>
      <c r="G21" s="824"/>
      <c r="H21" s="824">
        <f t="shared" si="5"/>
        <v>999.76</v>
      </c>
      <c r="I21" s="824"/>
      <c r="J21" s="824">
        <f t="shared" si="6"/>
        <v>999.76</v>
      </c>
      <c r="K21" s="824"/>
      <c r="L21" s="826">
        <f t="shared" si="9"/>
        <v>0</v>
      </c>
      <c r="M21" s="824"/>
      <c r="N21" s="824">
        <f t="shared" si="10"/>
        <v>999.76</v>
      </c>
      <c r="O21" s="824"/>
      <c r="P21" s="824"/>
      <c r="Q21" s="824"/>
      <c r="R21" s="824">
        <f t="shared" si="11"/>
        <v>0</v>
      </c>
      <c r="S21" s="824"/>
      <c r="T21" s="824">
        <f t="shared" si="12"/>
        <v>0</v>
      </c>
      <c r="U21" s="824"/>
      <c r="V21" s="817">
        <f t="shared" si="3"/>
        <v>0</v>
      </c>
    </row>
    <row r="22" spans="1:31" ht="14.25" customHeight="1">
      <c r="A22" s="838"/>
      <c r="B22" s="839" t="s">
        <v>653</v>
      </c>
      <c r="C22" s="840">
        <v>25000</v>
      </c>
      <c r="D22" s="840">
        <f aca="true" t="shared" si="13" ref="D22:D29">+C22*0.27</f>
        <v>6750</v>
      </c>
      <c r="E22" s="840">
        <f t="shared" si="8"/>
        <v>31750</v>
      </c>
      <c r="F22" s="825">
        <v>8411541</v>
      </c>
      <c r="G22" s="840">
        <v>-31750</v>
      </c>
      <c r="H22" s="824">
        <f t="shared" si="5"/>
        <v>0</v>
      </c>
      <c r="I22" s="840"/>
      <c r="J22" s="824">
        <f t="shared" si="6"/>
        <v>0</v>
      </c>
      <c r="K22" s="840"/>
      <c r="L22" s="841" t="e">
        <f t="shared" si="9"/>
        <v>#DIV/0!</v>
      </c>
      <c r="M22" s="840"/>
      <c r="N22" s="840">
        <f t="shared" si="10"/>
        <v>0</v>
      </c>
      <c r="O22" s="840"/>
      <c r="P22" s="824"/>
      <c r="Q22" s="840"/>
      <c r="R22" s="824">
        <f t="shared" si="11"/>
        <v>0</v>
      </c>
      <c r="S22" s="824"/>
      <c r="T22" s="824">
        <f t="shared" si="12"/>
        <v>0</v>
      </c>
      <c r="U22" s="824"/>
      <c r="V22" s="817">
        <f t="shared" si="3"/>
        <v>0</v>
      </c>
      <c r="W22" s="402"/>
      <c r="X22" s="402"/>
      <c r="Y22" s="402"/>
      <c r="Z22" s="402"/>
      <c r="AA22" s="402"/>
      <c r="AB22" s="402"/>
      <c r="AC22" s="402"/>
      <c r="AD22" s="402"/>
      <c r="AE22" s="402"/>
    </row>
    <row r="23" spans="1:31" s="63" customFormat="1" ht="12.75">
      <c r="A23" s="822"/>
      <c r="B23" s="827" t="s">
        <v>654</v>
      </c>
      <c r="C23" s="824">
        <v>748</v>
      </c>
      <c r="D23" s="824">
        <f t="shared" si="13"/>
        <v>201.96</v>
      </c>
      <c r="E23" s="824">
        <f t="shared" si="8"/>
        <v>949.96</v>
      </c>
      <c r="F23" s="825">
        <v>8411541</v>
      </c>
      <c r="G23" s="824">
        <v>-950</v>
      </c>
      <c r="H23" s="824">
        <f t="shared" si="5"/>
        <v>-0.03999999999996362</v>
      </c>
      <c r="I23" s="824"/>
      <c r="J23" s="824">
        <f t="shared" si="6"/>
        <v>-0.03999999999996362</v>
      </c>
      <c r="K23" s="824"/>
      <c r="L23" s="826">
        <f t="shared" si="9"/>
        <v>0</v>
      </c>
      <c r="M23" s="824"/>
      <c r="N23" s="824">
        <f t="shared" si="10"/>
        <v>-0.03999999999996362</v>
      </c>
      <c r="O23" s="824"/>
      <c r="P23" s="824"/>
      <c r="Q23" s="824"/>
      <c r="R23" s="824">
        <f t="shared" si="11"/>
        <v>0</v>
      </c>
      <c r="S23" s="824"/>
      <c r="T23" s="824">
        <f t="shared" si="12"/>
        <v>0</v>
      </c>
      <c r="U23" s="824"/>
      <c r="V23" s="817">
        <f t="shared" si="3"/>
        <v>0</v>
      </c>
      <c r="W23" s="402"/>
      <c r="X23" s="402"/>
      <c r="Y23" s="402"/>
      <c r="Z23" s="402"/>
      <c r="AA23" s="402"/>
      <c r="AB23" s="402"/>
      <c r="AC23" s="402"/>
      <c r="AD23" s="402"/>
      <c r="AE23" s="402"/>
    </row>
    <row r="24" spans="1:31" s="63" customFormat="1" ht="12.75">
      <c r="A24" s="822"/>
      <c r="B24" s="827" t="s">
        <v>655</v>
      </c>
      <c r="C24" s="824">
        <v>1496</v>
      </c>
      <c r="D24" s="824">
        <f t="shared" si="13"/>
        <v>403.92</v>
      </c>
      <c r="E24" s="824">
        <f t="shared" si="8"/>
        <v>1899.92</v>
      </c>
      <c r="F24" s="825">
        <v>8411541</v>
      </c>
      <c r="G24" s="824">
        <v>-1900</v>
      </c>
      <c r="H24" s="824">
        <f t="shared" si="5"/>
        <v>-0.07999999999992724</v>
      </c>
      <c r="I24" s="824"/>
      <c r="J24" s="824">
        <f t="shared" si="6"/>
        <v>-0.07999999999992724</v>
      </c>
      <c r="K24" s="824"/>
      <c r="L24" s="826">
        <f t="shared" si="9"/>
        <v>0</v>
      </c>
      <c r="M24" s="824"/>
      <c r="N24" s="824">
        <f t="shared" si="10"/>
        <v>-0.07999999999992724</v>
      </c>
      <c r="O24" s="824"/>
      <c r="P24" s="824"/>
      <c r="Q24" s="824"/>
      <c r="R24" s="824">
        <f t="shared" si="11"/>
        <v>0</v>
      </c>
      <c r="S24" s="824"/>
      <c r="T24" s="824">
        <f t="shared" si="12"/>
        <v>0</v>
      </c>
      <c r="U24" s="824"/>
      <c r="V24" s="817">
        <f t="shared" si="3"/>
        <v>0</v>
      </c>
      <c r="W24" s="402"/>
      <c r="X24" s="402"/>
      <c r="Y24" s="402"/>
      <c r="Z24" s="402"/>
      <c r="AA24" s="402"/>
      <c r="AB24" s="402"/>
      <c r="AC24" s="402"/>
      <c r="AD24" s="402"/>
      <c r="AE24" s="402"/>
    </row>
    <row r="25" spans="1:31" s="63" customFormat="1" ht="12.75" hidden="1">
      <c r="A25" s="822"/>
      <c r="B25" s="827" t="s">
        <v>656</v>
      </c>
      <c r="C25" s="824">
        <v>1260</v>
      </c>
      <c r="D25" s="824">
        <f t="shared" si="13"/>
        <v>340.20000000000005</v>
      </c>
      <c r="E25" s="824">
        <f t="shared" si="8"/>
        <v>1600.2</v>
      </c>
      <c r="F25" s="825">
        <v>8411541</v>
      </c>
      <c r="G25" s="824">
        <v>-1600</v>
      </c>
      <c r="H25" s="824">
        <f t="shared" si="5"/>
        <v>0.20000000000004547</v>
      </c>
      <c r="I25" s="824"/>
      <c r="J25" s="824">
        <f t="shared" si="6"/>
        <v>0.20000000000004547</v>
      </c>
      <c r="K25" s="824"/>
      <c r="L25" s="826">
        <f t="shared" si="9"/>
        <v>0</v>
      </c>
      <c r="M25" s="824"/>
      <c r="N25" s="824">
        <f t="shared" si="10"/>
        <v>0.20000000000004547</v>
      </c>
      <c r="O25" s="824"/>
      <c r="P25" s="824"/>
      <c r="Q25" s="824"/>
      <c r="R25" s="824">
        <f t="shared" si="11"/>
        <v>0</v>
      </c>
      <c r="S25" s="824"/>
      <c r="T25" s="824">
        <f t="shared" si="12"/>
        <v>0</v>
      </c>
      <c r="U25" s="824"/>
      <c r="V25" s="817">
        <f t="shared" si="3"/>
        <v>0</v>
      </c>
      <c r="W25" s="402"/>
      <c r="X25" s="402"/>
      <c r="Y25" s="402"/>
      <c r="Z25" s="402"/>
      <c r="AA25" s="402"/>
      <c r="AB25" s="402"/>
      <c r="AC25" s="402"/>
      <c r="AD25" s="402"/>
      <c r="AE25" s="402"/>
    </row>
    <row r="26" spans="1:31" s="63" customFormat="1" ht="12.75" hidden="1">
      <c r="A26" s="822"/>
      <c r="B26" s="827" t="s">
        <v>657</v>
      </c>
      <c r="C26" s="824">
        <v>3307</v>
      </c>
      <c r="D26" s="824">
        <f t="shared" si="13"/>
        <v>892.8900000000001</v>
      </c>
      <c r="E26" s="824">
        <f t="shared" si="8"/>
        <v>4199.89</v>
      </c>
      <c r="F26" s="825">
        <v>8411541</v>
      </c>
      <c r="G26" s="824">
        <v>-4200</v>
      </c>
      <c r="H26" s="824">
        <f t="shared" si="5"/>
        <v>-0.10999999999967258</v>
      </c>
      <c r="I26" s="824"/>
      <c r="J26" s="824">
        <f t="shared" si="6"/>
        <v>-0.10999999999967258</v>
      </c>
      <c r="K26" s="824"/>
      <c r="L26" s="826">
        <f t="shared" si="9"/>
        <v>0</v>
      </c>
      <c r="M26" s="824"/>
      <c r="N26" s="824">
        <f t="shared" si="10"/>
        <v>-0.10999999999967258</v>
      </c>
      <c r="O26" s="824"/>
      <c r="P26" s="824"/>
      <c r="Q26" s="824"/>
      <c r="R26" s="824">
        <f t="shared" si="11"/>
        <v>0</v>
      </c>
      <c r="S26" s="824"/>
      <c r="T26" s="824">
        <f t="shared" si="12"/>
        <v>0</v>
      </c>
      <c r="U26" s="824"/>
      <c r="V26" s="817">
        <f t="shared" si="3"/>
        <v>0</v>
      </c>
      <c r="W26" s="402"/>
      <c r="X26" s="402"/>
      <c r="Y26" s="402"/>
      <c r="Z26" s="402"/>
      <c r="AA26" s="402"/>
      <c r="AB26" s="402"/>
      <c r="AC26" s="402"/>
      <c r="AD26" s="402"/>
      <c r="AE26" s="402"/>
    </row>
    <row r="27" spans="1:31" s="63" customFormat="1" ht="12.75">
      <c r="A27" s="822"/>
      <c r="B27" s="827" t="s">
        <v>658</v>
      </c>
      <c r="C27" s="824">
        <v>2761</v>
      </c>
      <c r="D27" s="824">
        <f t="shared" si="13"/>
        <v>745.47</v>
      </c>
      <c r="E27" s="824">
        <f t="shared" si="8"/>
        <v>3506.4700000000003</v>
      </c>
      <c r="F27" s="825">
        <v>8411541</v>
      </c>
      <c r="G27" s="824"/>
      <c r="H27" s="824">
        <f t="shared" si="5"/>
        <v>3506.4700000000003</v>
      </c>
      <c r="I27" s="824"/>
      <c r="J27" s="824">
        <f t="shared" si="6"/>
        <v>3506.4700000000003</v>
      </c>
      <c r="K27" s="824"/>
      <c r="L27" s="826">
        <f t="shared" si="9"/>
        <v>0</v>
      </c>
      <c r="M27" s="824"/>
      <c r="N27" s="824">
        <f t="shared" si="10"/>
        <v>3506.4700000000003</v>
      </c>
      <c r="O27" s="824"/>
      <c r="P27" s="824"/>
      <c r="Q27" s="824"/>
      <c r="R27" s="824">
        <f t="shared" si="11"/>
        <v>0</v>
      </c>
      <c r="S27" s="824"/>
      <c r="T27" s="824">
        <f t="shared" si="12"/>
        <v>0</v>
      </c>
      <c r="U27" s="824"/>
      <c r="V27" s="817">
        <f t="shared" si="3"/>
        <v>0</v>
      </c>
      <c r="W27" s="402"/>
      <c r="X27" s="402"/>
      <c r="Y27" s="402"/>
      <c r="Z27" s="402"/>
      <c r="AA27" s="402"/>
      <c r="AB27" s="402"/>
      <c r="AC27" s="402"/>
      <c r="AD27" s="402"/>
      <c r="AE27" s="402"/>
    </row>
    <row r="28" spans="1:31" s="63" customFormat="1" ht="12.75">
      <c r="A28" s="822"/>
      <c r="B28" s="827" t="s">
        <v>659</v>
      </c>
      <c r="C28" s="824">
        <v>1181</v>
      </c>
      <c r="D28" s="824">
        <f t="shared" si="13"/>
        <v>318.87</v>
      </c>
      <c r="E28" s="824">
        <f t="shared" si="8"/>
        <v>1499.87</v>
      </c>
      <c r="F28" s="825">
        <v>8411541</v>
      </c>
      <c r="G28" s="824"/>
      <c r="H28" s="824">
        <f t="shared" si="5"/>
        <v>1499.87</v>
      </c>
      <c r="I28" s="824"/>
      <c r="J28" s="824">
        <f t="shared" si="6"/>
        <v>1499.87</v>
      </c>
      <c r="K28" s="824"/>
      <c r="L28" s="826">
        <f t="shared" si="9"/>
        <v>0</v>
      </c>
      <c r="M28" s="824"/>
      <c r="N28" s="824">
        <f t="shared" si="10"/>
        <v>1499.87</v>
      </c>
      <c r="O28" s="824"/>
      <c r="P28" s="824"/>
      <c r="Q28" s="824"/>
      <c r="R28" s="824">
        <f t="shared" si="11"/>
        <v>0</v>
      </c>
      <c r="S28" s="824"/>
      <c r="T28" s="824">
        <f t="shared" si="12"/>
        <v>0</v>
      </c>
      <c r="U28" s="824">
        <v>1264</v>
      </c>
      <c r="V28" s="817">
        <f t="shared" si="3"/>
        <v>1263587</v>
      </c>
      <c r="W28" s="402">
        <v>298485</v>
      </c>
      <c r="X28" s="402">
        <v>696465</v>
      </c>
      <c r="Y28" s="402">
        <v>80591</v>
      </c>
      <c r="Z28" s="402">
        <v>188046</v>
      </c>
      <c r="AA28" s="402"/>
      <c r="AB28" s="402"/>
      <c r="AC28" s="402"/>
      <c r="AD28" s="402"/>
      <c r="AE28" s="402"/>
    </row>
    <row r="29" spans="1:31" s="63" customFormat="1" ht="12.75">
      <c r="A29" s="822"/>
      <c r="B29" s="827" t="s">
        <v>660</v>
      </c>
      <c r="C29" s="824">
        <v>1890</v>
      </c>
      <c r="D29" s="824">
        <f t="shared" si="13"/>
        <v>510.3</v>
      </c>
      <c r="E29" s="824">
        <f t="shared" si="8"/>
        <v>2400.3</v>
      </c>
      <c r="F29" s="825">
        <v>8411541</v>
      </c>
      <c r="G29" s="824">
        <v>-2400</v>
      </c>
      <c r="H29" s="824">
        <f t="shared" si="5"/>
        <v>0.3000000000001819</v>
      </c>
      <c r="I29" s="824"/>
      <c r="J29" s="824">
        <f t="shared" si="6"/>
        <v>0.3000000000001819</v>
      </c>
      <c r="K29" s="824"/>
      <c r="L29" s="826">
        <f t="shared" si="9"/>
        <v>0</v>
      </c>
      <c r="M29" s="824"/>
      <c r="N29" s="824">
        <f t="shared" si="10"/>
        <v>0.3000000000001819</v>
      </c>
      <c r="O29" s="824"/>
      <c r="P29" s="824"/>
      <c r="Q29" s="824"/>
      <c r="R29" s="824">
        <f t="shared" si="11"/>
        <v>0</v>
      </c>
      <c r="S29" s="824"/>
      <c r="T29" s="824">
        <f t="shared" si="12"/>
        <v>0</v>
      </c>
      <c r="U29" s="824">
        <v>2057</v>
      </c>
      <c r="V29" s="817">
        <f t="shared" si="3"/>
        <v>2057000</v>
      </c>
      <c r="W29" s="828">
        <v>1619685</v>
      </c>
      <c r="X29" s="828">
        <v>437315</v>
      </c>
      <c r="Y29" s="402"/>
      <c r="Z29" s="402"/>
      <c r="AA29" s="402"/>
      <c r="AB29" s="402"/>
      <c r="AC29" s="402"/>
      <c r="AD29" s="402"/>
      <c r="AE29" s="402"/>
    </row>
    <row r="30" spans="1:31" s="63" customFormat="1" ht="12.75">
      <c r="A30" s="822"/>
      <c r="B30" s="827" t="s">
        <v>661</v>
      </c>
      <c r="C30" s="824">
        <v>788</v>
      </c>
      <c r="D30" s="824">
        <f>+C30*0.27-1</f>
        <v>211.76000000000002</v>
      </c>
      <c r="E30" s="824">
        <f t="shared" si="8"/>
        <v>999.76</v>
      </c>
      <c r="F30" s="825">
        <v>8411541</v>
      </c>
      <c r="G30" s="824"/>
      <c r="H30" s="824">
        <f t="shared" si="5"/>
        <v>999.76</v>
      </c>
      <c r="I30" s="824"/>
      <c r="J30" s="824">
        <f t="shared" si="6"/>
        <v>999.76</v>
      </c>
      <c r="K30" s="824"/>
      <c r="L30" s="826">
        <f t="shared" si="9"/>
        <v>0</v>
      </c>
      <c r="M30" s="824"/>
      <c r="N30" s="824">
        <f t="shared" si="10"/>
        <v>999.76</v>
      </c>
      <c r="O30" s="824"/>
      <c r="P30" s="824"/>
      <c r="Q30" s="824"/>
      <c r="R30" s="824">
        <f t="shared" si="11"/>
        <v>0</v>
      </c>
      <c r="S30" s="824"/>
      <c r="T30" s="824">
        <f t="shared" si="12"/>
        <v>0</v>
      </c>
      <c r="U30" s="824"/>
      <c r="V30" s="817">
        <f t="shared" si="3"/>
        <v>0</v>
      </c>
      <c r="W30" s="402"/>
      <c r="X30" s="402"/>
      <c r="Y30" s="402"/>
      <c r="Z30" s="402"/>
      <c r="AA30" s="402"/>
      <c r="AB30" s="402"/>
      <c r="AC30" s="402"/>
      <c r="AD30" s="402"/>
      <c r="AE30" s="402"/>
    </row>
    <row r="31" spans="1:31" s="63" customFormat="1" ht="12.75">
      <c r="A31" s="822"/>
      <c r="B31" s="827" t="s">
        <v>662</v>
      </c>
      <c r="C31" s="824">
        <v>39031</v>
      </c>
      <c r="D31" s="824">
        <f>+C31*0.27</f>
        <v>10538.37</v>
      </c>
      <c r="E31" s="824">
        <f t="shared" si="8"/>
        <v>49569.37</v>
      </c>
      <c r="F31" s="825"/>
      <c r="G31" s="824"/>
      <c r="H31" s="824">
        <f t="shared" si="5"/>
        <v>49569.37</v>
      </c>
      <c r="I31" s="824"/>
      <c r="J31" s="824">
        <f t="shared" si="6"/>
        <v>49569.37</v>
      </c>
      <c r="K31" s="824"/>
      <c r="L31" s="826">
        <f t="shared" si="9"/>
        <v>0</v>
      </c>
      <c r="M31" s="824"/>
      <c r="N31" s="824">
        <f t="shared" si="10"/>
        <v>49569.37</v>
      </c>
      <c r="O31" s="824"/>
      <c r="P31" s="824"/>
      <c r="Q31" s="824"/>
      <c r="R31" s="824">
        <f t="shared" si="11"/>
        <v>0</v>
      </c>
      <c r="S31" s="824"/>
      <c r="T31" s="824">
        <f t="shared" si="12"/>
        <v>0</v>
      </c>
      <c r="U31" s="824">
        <v>47565</v>
      </c>
      <c r="V31" s="817">
        <f t="shared" si="3"/>
        <v>47565564</v>
      </c>
      <c r="W31" s="402">
        <v>550000</v>
      </c>
      <c r="X31" s="402">
        <v>148500</v>
      </c>
      <c r="Y31" s="828">
        <v>21987979</v>
      </c>
      <c r="Z31" s="828">
        <v>942428</v>
      </c>
      <c r="AA31" s="828">
        <v>13972793</v>
      </c>
      <c r="AB31" s="828">
        <v>3772654</v>
      </c>
      <c r="AC31" s="402">
        <v>5936754</v>
      </c>
      <c r="AD31" s="402">
        <v>254456</v>
      </c>
      <c r="AE31" s="402"/>
    </row>
    <row r="32" spans="1:31" s="63" customFormat="1" ht="12.75">
      <c r="A32" s="838"/>
      <c r="B32" s="839" t="s">
        <v>663</v>
      </c>
      <c r="C32" s="840">
        <v>165107</v>
      </c>
      <c r="D32" s="840">
        <f>+C32*0.27</f>
        <v>44578.89</v>
      </c>
      <c r="E32" s="840">
        <f t="shared" si="8"/>
        <v>209685.89</v>
      </c>
      <c r="F32" s="842"/>
      <c r="G32" s="840"/>
      <c r="H32" s="840">
        <f t="shared" si="5"/>
        <v>209685.89</v>
      </c>
      <c r="I32" s="840"/>
      <c r="J32" s="840">
        <f t="shared" si="6"/>
        <v>209685.89</v>
      </c>
      <c r="K32" s="840"/>
      <c r="L32" s="841">
        <f t="shared" si="9"/>
        <v>0</v>
      </c>
      <c r="M32" s="840"/>
      <c r="N32" s="840">
        <f t="shared" si="10"/>
        <v>209685.89</v>
      </c>
      <c r="O32" s="840"/>
      <c r="P32" s="840"/>
      <c r="Q32" s="840"/>
      <c r="R32" s="840">
        <f t="shared" si="11"/>
        <v>0</v>
      </c>
      <c r="S32" s="840"/>
      <c r="T32" s="840">
        <f t="shared" si="12"/>
        <v>0</v>
      </c>
      <c r="U32" s="840">
        <v>83472</v>
      </c>
      <c r="V32" s="817">
        <f t="shared" si="3"/>
        <v>67365844</v>
      </c>
      <c r="W32" s="402">
        <v>2600000</v>
      </c>
      <c r="X32" s="402">
        <v>702000</v>
      </c>
      <c r="Y32" s="828">
        <v>17355008</v>
      </c>
      <c r="Z32" s="828">
        <v>17355008</v>
      </c>
      <c r="AA32" s="402">
        <v>24943220</v>
      </c>
      <c r="AB32" s="402">
        <v>2146067</v>
      </c>
      <c r="AC32" s="402">
        <v>1326853</v>
      </c>
      <c r="AD32" s="828">
        <v>579438</v>
      </c>
      <c r="AE32" s="402">
        <v>358250</v>
      </c>
    </row>
    <row r="33" spans="1:31" s="63" customFormat="1" ht="12.75">
      <c r="A33" s="843"/>
      <c r="B33" s="827" t="s">
        <v>664</v>
      </c>
      <c r="C33" s="106">
        <v>127365</v>
      </c>
      <c r="D33" s="106">
        <f>+C33*0.27</f>
        <v>34388.55</v>
      </c>
      <c r="E33" s="106">
        <f t="shared" si="8"/>
        <v>161753.55</v>
      </c>
      <c r="F33" s="844"/>
      <c r="G33" s="106"/>
      <c r="H33" s="106">
        <f t="shared" si="5"/>
        <v>161753.55</v>
      </c>
      <c r="I33" s="106"/>
      <c r="J33" s="106">
        <f t="shared" si="6"/>
        <v>161753.55</v>
      </c>
      <c r="K33" s="106"/>
      <c r="L33" s="845">
        <f t="shared" si="9"/>
        <v>0</v>
      </c>
      <c r="M33" s="106"/>
      <c r="N33" s="106">
        <f t="shared" si="10"/>
        <v>161753.55</v>
      </c>
      <c r="O33" s="106"/>
      <c r="P33" s="106"/>
      <c r="Q33" s="106"/>
      <c r="R33" s="106">
        <f t="shared" si="11"/>
        <v>0</v>
      </c>
      <c r="S33" s="106"/>
      <c r="T33" s="106">
        <f t="shared" si="12"/>
        <v>0</v>
      </c>
      <c r="U33" s="106"/>
      <c r="V33" s="817">
        <f t="shared" si="3"/>
        <v>0</v>
      </c>
      <c r="W33" s="402"/>
      <c r="X33" s="402"/>
      <c r="Y33" s="402"/>
      <c r="Z33" s="402"/>
      <c r="AA33" s="402"/>
      <c r="AB33" s="402"/>
      <c r="AC33" s="402"/>
      <c r="AD33" s="402"/>
      <c r="AE33" s="402"/>
    </row>
    <row r="34" spans="1:31" s="63" customFormat="1" ht="12.75">
      <c r="A34" s="843"/>
      <c r="B34" s="827" t="s">
        <v>665</v>
      </c>
      <c r="C34" s="106">
        <v>25567</v>
      </c>
      <c r="D34" s="106">
        <f>+C34*0.27</f>
        <v>6903.09</v>
      </c>
      <c r="E34" s="106">
        <f t="shared" si="8"/>
        <v>32470.09</v>
      </c>
      <c r="F34" s="844"/>
      <c r="G34" s="106"/>
      <c r="H34" s="106">
        <f t="shared" si="5"/>
        <v>32470.09</v>
      </c>
      <c r="I34" s="106"/>
      <c r="J34" s="106">
        <f t="shared" si="6"/>
        <v>32470.09</v>
      </c>
      <c r="K34" s="106"/>
      <c r="L34" s="845">
        <f t="shared" si="9"/>
        <v>0</v>
      </c>
      <c r="M34" s="106"/>
      <c r="N34" s="106">
        <f t="shared" si="10"/>
        <v>32470.09</v>
      </c>
      <c r="O34" s="106"/>
      <c r="P34" s="106"/>
      <c r="Q34" s="106"/>
      <c r="R34" s="106">
        <f t="shared" si="11"/>
        <v>0</v>
      </c>
      <c r="S34" s="106"/>
      <c r="T34" s="106">
        <f t="shared" si="12"/>
        <v>0</v>
      </c>
      <c r="U34" s="106">
        <v>40564</v>
      </c>
      <c r="V34" s="817">
        <f t="shared" si="3"/>
        <v>31044420</v>
      </c>
      <c r="W34" s="402">
        <v>1000000</v>
      </c>
      <c r="X34" s="402">
        <v>8296000</v>
      </c>
      <c r="Y34" s="402">
        <v>3250000</v>
      </c>
      <c r="Z34" s="402">
        <v>270000</v>
      </c>
      <c r="AA34" s="402">
        <v>2239920</v>
      </c>
      <c r="AB34" s="402">
        <v>877500</v>
      </c>
      <c r="AC34" s="828">
        <v>2100000</v>
      </c>
      <c r="AD34" s="828">
        <v>567000</v>
      </c>
      <c r="AE34" s="402">
        <v>12444000</v>
      </c>
    </row>
    <row r="35" spans="1:31" s="63" customFormat="1" ht="12.75">
      <c r="A35" s="843"/>
      <c r="B35" s="827" t="s">
        <v>40</v>
      </c>
      <c r="C35" s="106"/>
      <c r="D35" s="106"/>
      <c r="E35" s="106"/>
      <c r="F35" s="844"/>
      <c r="G35" s="106"/>
      <c r="H35" s="106"/>
      <c r="I35" s="106"/>
      <c r="J35" s="106"/>
      <c r="K35" s="106"/>
      <c r="L35" s="845"/>
      <c r="M35" s="106"/>
      <c r="N35" s="106"/>
      <c r="O35" s="106"/>
      <c r="P35" s="106"/>
      <c r="Q35" s="106"/>
      <c r="R35" s="106"/>
      <c r="S35" s="106"/>
      <c r="T35" s="106"/>
      <c r="U35" s="106">
        <v>1117</v>
      </c>
      <c r="V35" s="817">
        <f t="shared" si="3"/>
        <v>1116994</v>
      </c>
      <c r="W35" s="402">
        <v>115000</v>
      </c>
      <c r="X35" s="402">
        <v>575523</v>
      </c>
      <c r="Y35" s="402">
        <v>189000</v>
      </c>
      <c r="Z35" s="402">
        <v>31050</v>
      </c>
      <c r="AA35" s="402">
        <v>155391</v>
      </c>
      <c r="AB35" s="402">
        <v>51030</v>
      </c>
      <c r="AC35" s="402"/>
      <c r="AD35" s="402"/>
      <c r="AE35" s="402"/>
    </row>
    <row r="36" spans="1:31" s="63" customFormat="1" ht="12.75">
      <c r="A36" s="843"/>
      <c r="B36" s="827" t="s">
        <v>666</v>
      </c>
      <c r="C36" s="106"/>
      <c r="D36" s="106"/>
      <c r="E36" s="106"/>
      <c r="F36" s="844"/>
      <c r="G36" s="106"/>
      <c r="H36" s="106"/>
      <c r="I36" s="106"/>
      <c r="J36" s="106"/>
      <c r="K36" s="106"/>
      <c r="L36" s="845"/>
      <c r="M36" s="106"/>
      <c r="N36" s="106"/>
      <c r="O36" s="106"/>
      <c r="P36" s="106"/>
      <c r="Q36" s="106"/>
      <c r="R36" s="106"/>
      <c r="S36" s="106"/>
      <c r="T36" s="106"/>
      <c r="U36" s="106">
        <v>137</v>
      </c>
      <c r="V36" s="817">
        <f t="shared" si="3"/>
        <v>137160</v>
      </c>
      <c r="W36" s="402">
        <v>108000</v>
      </c>
      <c r="X36" s="402">
        <v>29160</v>
      </c>
      <c r="Y36" s="402"/>
      <c r="Z36" s="402"/>
      <c r="AA36" s="402"/>
      <c r="AB36" s="402"/>
      <c r="AC36" s="402"/>
      <c r="AD36" s="402"/>
      <c r="AE36" s="402"/>
    </row>
    <row r="37" spans="1:31" s="63" customFormat="1" ht="12.75">
      <c r="A37" s="843"/>
      <c r="B37" s="827" t="s">
        <v>667</v>
      </c>
      <c r="C37" s="106"/>
      <c r="D37" s="106"/>
      <c r="E37" s="106"/>
      <c r="F37" s="844"/>
      <c r="G37" s="106"/>
      <c r="H37" s="106"/>
      <c r="I37" s="106"/>
      <c r="J37" s="106"/>
      <c r="K37" s="106"/>
      <c r="L37" s="845"/>
      <c r="M37" s="106"/>
      <c r="N37" s="106"/>
      <c r="O37" s="106"/>
      <c r="P37" s="106"/>
      <c r="Q37" s="106"/>
      <c r="R37" s="106"/>
      <c r="S37" s="106"/>
      <c r="T37" s="106"/>
      <c r="U37" s="106">
        <v>267</v>
      </c>
      <c r="V37" s="817">
        <f t="shared" si="3"/>
        <v>266700</v>
      </c>
      <c r="W37" s="402">
        <v>210000</v>
      </c>
      <c r="X37" s="402">
        <v>56700</v>
      </c>
      <c r="Y37" s="402"/>
      <c r="Z37" s="402"/>
      <c r="AA37" s="402"/>
      <c r="AB37" s="402"/>
      <c r="AC37" s="402"/>
      <c r="AD37" s="402"/>
      <c r="AE37" s="402"/>
    </row>
    <row r="38" spans="1:31" s="63" customFormat="1" ht="12.75">
      <c r="A38" s="843"/>
      <c r="B38" s="827" t="s">
        <v>668</v>
      </c>
      <c r="C38" s="106"/>
      <c r="D38" s="106"/>
      <c r="E38" s="106"/>
      <c r="F38" s="844"/>
      <c r="G38" s="106"/>
      <c r="H38" s="106"/>
      <c r="I38" s="106"/>
      <c r="J38" s="106"/>
      <c r="K38" s="106"/>
      <c r="L38" s="845"/>
      <c r="M38" s="106"/>
      <c r="N38" s="106"/>
      <c r="O38" s="106"/>
      <c r="P38" s="106"/>
      <c r="Q38" s="106"/>
      <c r="R38" s="106"/>
      <c r="S38" s="106"/>
      <c r="T38" s="106"/>
      <c r="U38" s="106">
        <v>6030</v>
      </c>
      <c r="V38" s="817">
        <f t="shared" si="3"/>
        <v>6030000</v>
      </c>
      <c r="W38" s="402">
        <v>6026000</v>
      </c>
      <c r="X38" s="402">
        <v>4000</v>
      </c>
      <c r="Y38" s="402"/>
      <c r="Z38" s="402"/>
      <c r="AA38" s="402"/>
      <c r="AB38" s="402"/>
      <c r="AC38" s="402"/>
      <c r="AD38" s="402"/>
      <c r="AE38" s="402"/>
    </row>
    <row r="39" spans="1:31" s="63" customFormat="1" ht="12.75">
      <c r="A39" s="843"/>
      <c r="B39" s="827" t="s">
        <v>669</v>
      </c>
      <c r="C39" s="106"/>
      <c r="D39" s="106"/>
      <c r="E39" s="106"/>
      <c r="F39" s="844"/>
      <c r="G39" s="106"/>
      <c r="H39" s="106"/>
      <c r="I39" s="106"/>
      <c r="J39" s="106"/>
      <c r="K39" s="106"/>
      <c r="L39" s="845"/>
      <c r="M39" s="106"/>
      <c r="N39" s="106"/>
      <c r="O39" s="106"/>
      <c r="P39" s="106"/>
      <c r="Q39" s="106"/>
      <c r="R39" s="106"/>
      <c r="S39" s="106"/>
      <c r="T39" s="106"/>
      <c r="U39" s="106">
        <v>1700</v>
      </c>
      <c r="V39" s="817">
        <f t="shared" si="3"/>
        <v>1700000</v>
      </c>
      <c r="W39" s="402">
        <v>1700000</v>
      </c>
      <c r="X39" s="402"/>
      <c r="Y39" s="402"/>
      <c r="Z39" s="402"/>
      <c r="AA39" s="402"/>
      <c r="AB39" s="402"/>
      <c r="AC39" s="402"/>
      <c r="AD39" s="402"/>
      <c r="AE39" s="402"/>
    </row>
    <row r="40" spans="1:31" s="63" customFormat="1" ht="12.75">
      <c r="A40" s="843"/>
      <c r="B40" s="827" t="s">
        <v>670</v>
      </c>
      <c r="C40" s="106"/>
      <c r="D40" s="106"/>
      <c r="E40" s="106"/>
      <c r="F40" s="844"/>
      <c r="G40" s="106"/>
      <c r="H40" s="106"/>
      <c r="I40" s="106"/>
      <c r="J40" s="106"/>
      <c r="K40" s="106"/>
      <c r="L40" s="845"/>
      <c r="M40" s="106"/>
      <c r="N40" s="106"/>
      <c r="O40" s="106"/>
      <c r="P40" s="106"/>
      <c r="Q40" s="106"/>
      <c r="R40" s="106"/>
      <c r="S40" s="106"/>
      <c r="T40" s="106"/>
      <c r="U40" s="106">
        <v>11</v>
      </c>
      <c r="V40" s="817">
        <f t="shared" si="3"/>
        <v>11000</v>
      </c>
      <c r="W40" s="402">
        <v>11000</v>
      </c>
      <c r="X40" s="402"/>
      <c r="Y40" s="402"/>
      <c r="Z40" s="402"/>
      <c r="AA40" s="402"/>
      <c r="AB40" s="402"/>
      <c r="AC40" s="402"/>
      <c r="AD40" s="402"/>
      <c r="AE40" s="402"/>
    </row>
    <row r="41" spans="1:31" s="63" customFormat="1" ht="12.75">
      <c r="A41" s="846"/>
      <c r="B41" s="839" t="s">
        <v>671</v>
      </c>
      <c r="C41" s="167"/>
      <c r="D41" s="167"/>
      <c r="E41" s="167"/>
      <c r="F41" s="847"/>
      <c r="G41" s="167"/>
      <c r="H41" s="167"/>
      <c r="I41" s="167"/>
      <c r="J41" s="167"/>
      <c r="K41" s="167"/>
      <c r="L41" s="848"/>
      <c r="M41" s="167"/>
      <c r="N41" s="167"/>
      <c r="O41" s="167"/>
      <c r="P41" s="167"/>
      <c r="Q41" s="167"/>
      <c r="R41" s="167"/>
      <c r="S41" s="167"/>
      <c r="T41" s="167"/>
      <c r="U41" s="167">
        <v>2678</v>
      </c>
      <c r="V41" s="817">
        <f t="shared" si="3"/>
        <v>2677922</v>
      </c>
      <c r="W41" s="828">
        <v>634900</v>
      </c>
      <c r="X41" s="828">
        <v>1473700</v>
      </c>
      <c r="Y41" s="828">
        <v>171423</v>
      </c>
      <c r="Z41" s="828">
        <v>397899</v>
      </c>
      <c r="AA41" s="402"/>
      <c r="AB41" s="402"/>
      <c r="AC41" s="402"/>
      <c r="AD41" s="402"/>
      <c r="AE41" s="402"/>
    </row>
    <row r="42" spans="1:31" s="63" customFormat="1" ht="12.75">
      <c r="A42" s="846"/>
      <c r="B42" s="839" t="s">
        <v>672</v>
      </c>
      <c r="C42" s="167"/>
      <c r="D42" s="167"/>
      <c r="E42" s="167"/>
      <c r="F42" s="847"/>
      <c r="G42" s="167"/>
      <c r="H42" s="167"/>
      <c r="I42" s="167"/>
      <c r="J42" s="167"/>
      <c r="K42" s="167"/>
      <c r="L42" s="848"/>
      <c r="M42" s="167"/>
      <c r="N42" s="167"/>
      <c r="O42" s="167"/>
      <c r="P42" s="167"/>
      <c r="Q42" s="167"/>
      <c r="R42" s="167"/>
      <c r="S42" s="167"/>
      <c r="T42" s="167"/>
      <c r="U42" s="167">
        <v>6327</v>
      </c>
      <c r="V42" s="817">
        <f t="shared" si="3"/>
        <v>6327159</v>
      </c>
      <c r="W42" s="828">
        <v>4982015</v>
      </c>
      <c r="X42" s="828">
        <v>1345144</v>
      </c>
      <c r="Y42" s="402"/>
      <c r="Z42" s="402"/>
      <c r="AA42" s="402"/>
      <c r="AB42" s="402"/>
      <c r="AC42" s="402"/>
      <c r="AD42" s="402"/>
      <c r="AE42" s="402"/>
    </row>
    <row r="43" spans="1:31" s="63" customFormat="1" ht="12.75">
      <c r="A43" s="846"/>
      <c r="B43" s="839" t="s">
        <v>673</v>
      </c>
      <c r="C43" s="167"/>
      <c r="D43" s="167"/>
      <c r="E43" s="167"/>
      <c r="F43" s="847"/>
      <c r="G43" s="167"/>
      <c r="H43" s="167"/>
      <c r="I43" s="167"/>
      <c r="J43" s="167"/>
      <c r="K43" s="167"/>
      <c r="L43" s="848"/>
      <c r="M43" s="167"/>
      <c r="N43" s="167"/>
      <c r="O43" s="167"/>
      <c r="P43" s="167"/>
      <c r="Q43" s="167"/>
      <c r="R43" s="167"/>
      <c r="S43" s="167"/>
      <c r="T43" s="167"/>
      <c r="U43" s="167">
        <v>180</v>
      </c>
      <c r="V43" s="817">
        <f t="shared" si="3"/>
        <v>180000</v>
      </c>
      <c r="W43" s="828">
        <v>141732</v>
      </c>
      <c r="X43" s="828">
        <v>38268</v>
      </c>
      <c r="Y43" s="402"/>
      <c r="Z43" s="402"/>
      <c r="AA43" s="402"/>
      <c r="AB43" s="402"/>
      <c r="AC43" s="402"/>
      <c r="AD43" s="402"/>
      <c r="AE43" s="402"/>
    </row>
    <row r="44" spans="1:31" s="63" customFormat="1" ht="12.75">
      <c r="A44" s="846"/>
      <c r="B44" s="839" t="s">
        <v>674</v>
      </c>
      <c r="C44" s="167"/>
      <c r="D44" s="167"/>
      <c r="E44" s="167"/>
      <c r="F44" s="847"/>
      <c r="G44" s="167"/>
      <c r="H44" s="167"/>
      <c r="I44" s="167"/>
      <c r="J44" s="167"/>
      <c r="K44" s="167"/>
      <c r="L44" s="848"/>
      <c r="M44" s="167"/>
      <c r="N44" s="167"/>
      <c r="O44" s="167"/>
      <c r="P44" s="167"/>
      <c r="Q44" s="167"/>
      <c r="R44" s="167"/>
      <c r="S44" s="167"/>
      <c r="T44" s="167"/>
      <c r="U44" s="167">
        <v>1048</v>
      </c>
      <c r="V44" s="817">
        <f t="shared" si="3"/>
        <v>1047750</v>
      </c>
      <c r="W44" s="402">
        <v>825000</v>
      </c>
      <c r="X44" s="402">
        <v>222750</v>
      </c>
      <c r="Y44" s="402"/>
      <c r="Z44" s="402"/>
      <c r="AA44" s="402"/>
      <c r="AB44" s="402"/>
      <c r="AC44" s="402"/>
      <c r="AD44" s="402"/>
      <c r="AE44" s="402"/>
    </row>
    <row r="45" spans="1:31" s="63" customFormat="1" ht="13.5" thickBot="1">
      <c r="A45" s="846"/>
      <c r="B45" s="839"/>
      <c r="C45" s="167"/>
      <c r="D45" s="167"/>
      <c r="E45" s="167"/>
      <c r="F45" s="847"/>
      <c r="G45" s="167"/>
      <c r="H45" s="167"/>
      <c r="I45" s="167"/>
      <c r="J45" s="167"/>
      <c r="K45" s="167"/>
      <c r="L45" s="848"/>
      <c r="M45" s="167"/>
      <c r="N45" s="167"/>
      <c r="O45" s="167"/>
      <c r="P45" s="167"/>
      <c r="Q45" s="167"/>
      <c r="R45" s="167"/>
      <c r="S45" s="167"/>
      <c r="T45" s="167"/>
      <c r="U45" s="167"/>
      <c r="V45" s="817">
        <f>SUM(W45:AL45)</f>
        <v>0</v>
      </c>
      <c r="W45" s="402"/>
      <c r="X45" s="402"/>
      <c r="Y45" s="402"/>
      <c r="Z45" s="402"/>
      <c r="AA45" s="402"/>
      <c r="AB45" s="402"/>
      <c r="AC45" s="402"/>
      <c r="AD45" s="402"/>
      <c r="AE45" s="402"/>
    </row>
    <row r="46" spans="1:31" s="63" customFormat="1" ht="13.5" thickBot="1">
      <c r="A46" s="849"/>
      <c r="B46" s="850" t="s">
        <v>112</v>
      </c>
      <c r="C46" s="831">
        <f aca="true" t="shared" si="14" ref="C46:T46">SUM(C14:C34)</f>
        <v>431672</v>
      </c>
      <c r="D46" s="831">
        <f t="shared" si="14"/>
        <v>116548.43999999999</v>
      </c>
      <c r="E46" s="831">
        <f t="shared" si="14"/>
        <v>548220.4400000001</v>
      </c>
      <c r="F46" s="831">
        <f t="shared" si="14"/>
        <v>109370955</v>
      </c>
      <c r="G46" s="831">
        <f t="shared" si="14"/>
        <v>-82000</v>
      </c>
      <c r="H46" s="831">
        <f t="shared" si="14"/>
        <v>466220.44000000006</v>
      </c>
      <c r="I46" s="831">
        <f t="shared" si="14"/>
        <v>0</v>
      </c>
      <c r="J46" s="831">
        <f t="shared" si="14"/>
        <v>466220.44000000006</v>
      </c>
      <c r="K46" s="831">
        <f t="shared" si="14"/>
        <v>0</v>
      </c>
      <c r="L46" s="831" t="e">
        <f t="shared" si="14"/>
        <v>#DIV/0!</v>
      </c>
      <c r="M46" s="831">
        <f t="shared" si="14"/>
        <v>0</v>
      </c>
      <c r="N46" s="831">
        <f t="shared" si="14"/>
        <v>461484.61000000004</v>
      </c>
      <c r="O46" s="831">
        <f t="shared" si="14"/>
        <v>0</v>
      </c>
      <c r="P46" s="831">
        <f t="shared" si="14"/>
        <v>0</v>
      </c>
      <c r="Q46" s="831">
        <f t="shared" si="14"/>
        <v>0</v>
      </c>
      <c r="R46" s="831">
        <f t="shared" si="14"/>
        <v>0</v>
      </c>
      <c r="S46" s="831">
        <f t="shared" si="14"/>
        <v>0</v>
      </c>
      <c r="T46" s="831">
        <f t="shared" si="14"/>
        <v>0</v>
      </c>
      <c r="U46" s="831">
        <f>SUM(U14:U44)</f>
        <v>199354</v>
      </c>
      <c r="V46" s="831">
        <f>SUM(V14:V45)</f>
        <v>173728073</v>
      </c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s="63" customFormat="1" ht="12.75">
      <c r="A47" s="2"/>
      <c r="B47" s="2"/>
      <c r="C47" s="2"/>
      <c r="D47" s="2"/>
      <c r="E47" s="2"/>
      <c r="F47" s="396"/>
      <c r="G47" s="2"/>
      <c r="H47" s="2"/>
      <c r="I47" s="2"/>
      <c r="J47" s="2"/>
      <c r="K47" s="2"/>
      <c r="L47" s="2"/>
      <c r="M47" s="2"/>
      <c r="N47" s="2"/>
      <c r="T47" s="2">
        <f>+S47-R47</f>
        <v>0</v>
      </c>
      <c r="U47" s="2"/>
      <c r="V47" s="817">
        <f aca="true" t="shared" si="15" ref="V47:V53">SUM(W47:AG47)</f>
        <v>0</v>
      </c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5:22" ht="13.5" thickBot="1">
      <c r="O48" s="63"/>
      <c r="P48" s="63"/>
      <c r="Q48" s="63"/>
      <c r="R48" s="63"/>
      <c r="S48" s="63"/>
      <c r="T48" s="2">
        <f>+S48-R48</f>
        <v>0</v>
      </c>
      <c r="V48" s="817">
        <f t="shared" si="15"/>
        <v>0</v>
      </c>
    </row>
    <row r="49" spans="1:22" ht="13.5" thickBot="1">
      <c r="A49" s="851"/>
      <c r="B49" s="808" t="s">
        <v>41</v>
      </c>
      <c r="C49" s="852"/>
      <c r="D49" s="852"/>
      <c r="E49" s="852"/>
      <c r="F49" s="853"/>
      <c r="G49" s="852"/>
      <c r="H49" s="852"/>
      <c r="I49" s="852"/>
      <c r="J49" s="852"/>
      <c r="K49" s="852"/>
      <c r="L49" s="852"/>
      <c r="M49" s="852"/>
      <c r="N49" s="852"/>
      <c r="O49" s="854"/>
      <c r="P49" s="854"/>
      <c r="Q49" s="854"/>
      <c r="R49" s="854"/>
      <c r="S49" s="854"/>
      <c r="T49" s="852">
        <f>+S49-R49</f>
        <v>0</v>
      </c>
      <c r="U49" s="852"/>
      <c r="V49" s="817">
        <f t="shared" si="15"/>
        <v>0</v>
      </c>
    </row>
    <row r="50" spans="1:31" ht="12.75">
      <c r="A50" s="833">
        <v>1</v>
      </c>
      <c r="B50" s="855" t="s">
        <v>42</v>
      </c>
      <c r="C50" s="856"/>
      <c r="D50" s="856"/>
      <c r="E50" s="856"/>
      <c r="F50" s="857"/>
      <c r="G50" s="856"/>
      <c r="H50" s="856">
        <f>+E50+G50</f>
        <v>0</v>
      </c>
      <c r="I50" s="856"/>
      <c r="J50" s="856">
        <f>+H50+I50</f>
        <v>0</v>
      </c>
      <c r="K50" s="856"/>
      <c r="L50" s="858" t="e">
        <f>+K50/J50</f>
        <v>#DIV/0!</v>
      </c>
      <c r="M50" s="856"/>
      <c r="N50" s="856">
        <f>+J50+M50</f>
        <v>0</v>
      </c>
      <c r="O50" s="856"/>
      <c r="P50" s="859">
        <f>+N50+O50</f>
        <v>0</v>
      </c>
      <c r="Q50" s="856"/>
      <c r="R50" s="859">
        <f>+P50+Q50</f>
        <v>0</v>
      </c>
      <c r="S50" s="859"/>
      <c r="T50" s="859">
        <f>+S50-R50</f>
        <v>0</v>
      </c>
      <c r="U50" s="856">
        <f>+R50+T50</f>
        <v>0</v>
      </c>
      <c r="V50" s="817">
        <f t="shared" si="15"/>
        <v>0</v>
      </c>
      <c r="W50" s="402"/>
      <c r="X50" s="402"/>
      <c r="Y50" s="402"/>
      <c r="Z50" s="402"/>
      <c r="AA50" s="402"/>
      <c r="AB50" s="402"/>
      <c r="AC50" s="402"/>
      <c r="AD50" s="402"/>
      <c r="AE50" s="402"/>
    </row>
    <row r="51" spans="1:31" ht="16.5" customHeight="1" thickBot="1">
      <c r="A51" s="860">
        <v>1</v>
      </c>
      <c r="B51" s="861" t="s">
        <v>43</v>
      </c>
      <c r="C51" s="862"/>
      <c r="D51" s="862"/>
      <c r="E51" s="862"/>
      <c r="F51" s="863"/>
      <c r="G51" s="862"/>
      <c r="H51" s="862">
        <f>+E51+G51</f>
        <v>0</v>
      </c>
      <c r="I51" s="862"/>
      <c r="J51" s="862"/>
      <c r="K51" s="862"/>
      <c r="L51" s="864"/>
      <c r="M51" s="862"/>
      <c r="N51" s="862"/>
      <c r="O51" s="862"/>
      <c r="P51" s="865">
        <f>+N51+O51</f>
        <v>0</v>
      </c>
      <c r="Q51" s="862"/>
      <c r="R51" s="865">
        <f>+P51+Q51</f>
        <v>0</v>
      </c>
      <c r="S51" s="865"/>
      <c r="T51" s="865">
        <f>+S51-R51</f>
        <v>0</v>
      </c>
      <c r="U51" s="862">
        <f>+R51+T51</f>
        <v>0</v>
      </c>
      <c r="V51" s="817">
        <f t="shared" si="15"/>
        <v>0</v>
      </c>
      <c r="W51" s="402"/>
      <c r="X51" s="402"/>
      <c r="Y51" s="402"/>
      <c r="Z51" s="402"/>
      <c r="AA51" s="402"/>
      <c r="AB51" s="402"/>
      <c r="AC51" s="402"/>
      <c r="AD51" s="402"/>
      <c r="AE51" s="402"/>
    </row>
    <row r="52" spans="1:31" s="63" customFormat="1" ht="13.5" thickBot="1">
      <c r="A52" s="849"/>
      <c r="B52" s="850" t="s">
        <v>44</v>
      </c>
      <c r="C52" s="831">
        <f>SUM(C23:C34)</f>
        <v>370501</v>
      </c>
      <c r="D52" s="831">
        <f>SUM(D23:D34)</f>
        <v>100034.27</v>
      </c>
      <c r="E52" s="831">
        <f aca="true" t="shared" si="16" ref="E52:K52">SUM(E50:E51)</f>
        <v>0</v>
      </c>
      <c r="F52" s="831">
        <f t="shared" si="16"/>
        <v>0</v>
      </c>
      <c r="G52" s="831">
        <f t="shared" si="16"/>
        <v>0</v>
      </c>
      <c r="H52" s="831">
        <f t="shared" si="16"/>
        <v>0</v>
      </c>
      <c r="I52" s="831">
        <f t="shared" si="16"/>
        <v>0</v>
      </c>
      <c r="J52" s="831">
        <f t="shared" si="16"/>
        <v>0</v>
      </c>
      <c r="K52" s="831">
        <f t="shared" si="16"/>
        <v>0</v>
      </c>
      <c r="L52" s="866" t="e">
        <f>+K52/J52</f>
        <v>#DIV/0!</v>
      </c>
      <c r="M52" s="831">
        <f aca="true" t="shared" si="17" ref="M52:U52">SUM(M50:M51)</f>
        <v>0</v>
      </c>
      <c r="N52" s="831">
        <f t="shared" si="17"/>
        <v>0</v>
      </c>
      <c r="O52" s="831">
        <f t="shared" si="17"/>
        <v>0</v>
      </c>
      <c r="P52" s="831">
        <f t="shared" si="17"/>
        <v>0</v>
      </c>
      <c r="Q52" s="831">
        <f t="shared" si="17"/>
        <v>0</v>
      </c>
      <c r="R52" s="831">
        <f t="shared" si="17"/>
        <v>0</v>
      </c>
      <c r="S52" s="831">
        <f t="shared" si="17"/>
        <v>0</v>
      </c>
      <c r="T52" s="831">
        <f t="shared" si="17"/>
        <v>0</v>
      </c>
      <c r="U52" s="831">
        <f t="shared" si="17"/>
        <v>0</v>
      </c>
      <c r="V52" s="817">
        <f t="shared" si="15"/>
        <v>0</v>
      </c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s="63" customFormat="1" ht="13.5" thickBot="1">
      <c r="A53" s="867"/>
      <c r="B53" s="64"/>
      <c r="C53" s="868"/>
      <c r="D53" s="868"/>
      <c r="E53" s="868"/>
      <c r="F53" s="869"/>
      <c r="G53" s="868"/>
      <c r="H53" s="868"/>
      <c r="I53" s="868"/>
      <c r="J53" s="868"/>
      <c r="K53" s="868"/>
      <c r="L53" s="870"/>
      <c r="M53" s="868"/>
      <c r="N53" s="868"/>
      <c r="O53" s="868"/>
      <c r="P53" s="868"/>
      <c r="Q53" s="868"/>
      <c r="R53" s="868"/>
      <c r="S53" s="868"/>
      <c r="T53" s="868">
        <f>+S53-R53</f>
        <v>0</v>
      </c>
      <c r="U53" s="868"/>
      <c r="V53" s="817">
        <f t="shared" si="15"/>
        <v>0</v>
      </c>
      <c r="W53" s="402"/>
      <c r="X53" s="402"/>
      <c r="Y53" s="402"/>
      <c r="Z53" s="402"/>
      <c r="AA53" s="402"/>
      <c r="AB53" s="402"/>
      <c r="AC53" s="402"/>
      <c r="AD53" s="402"/>
      <c r="AE53" s="402"/>
    </row>
    <row r="54" spans="1:22" ht="13.5" thickBot="1">
      <c r="A54" s="818"/>
      <c r="B54" s="813" t="s">
        <v>497</v>
      </c>
      <c r="C54" s="819">
        <f>C12+C46</f>
        <v>703416</v>
      </c>
      <c r="D54" s="819">
        <f>D12+D46</f>
        <v>189919.32</v>
      </c>
      <c r="E54" s="819">
        <f>E12+E46</f>
        <v>893335.3200000001</v>
      </c>
      <c r="F54" s="820"/>
      <c r="G54" s="819">
        <f>+G12+G46+G52</f>
        <v>-83000</v>
      </c>
      <c r="H54" s="819">
        <f>+H12+H46+H52</f>
        <v>810335.3200000001</v>
      </c>
      <c r="I54" s="819">
        <f>+I12+I46+I52</f>
        <v>0</v>
      </c>
      <c r="J54" s="819">
        <f>+J12+J46+J52</f>
        <v>810335.3200000001</v>
      </c>
      <c r="K54" s="819">
        <f>+K12+K46+K52</f>
        <v>0</v>
      </c>
      <c r="L54" s="866">
        <f>+K54/J54</f>
        <v>0</v>
      </c>
      <c r="M54" s="819">
        <f aca="true" t="shared" si="18" ref="M54:T54">+M12+M46+M52</f>
        <v>0</v>
      </c>
      <c r="N54" s="819">
        <f t="shared" si="18"/>
        <v>805599.49</v>
      </c>
      <c r="O54" s="821">
        <f t="shared" si="18"/>
        <v>0</v>
      </c>
      <c r="P54" s="821">
        <f t="shared" si="18"/>
        <v>0</v>
      </c>
      <c r="Q54" s="821">
        <f t="shared" si="18"/>
        <v>0</v>
      </c>
      <c r="R54" s="821">
        <f t="shared" si="18"/>
        <v>0</v>
      </c>
      <c r="S54" s="821">
        <f t="shared" si="18"/>
        <v>0</v>
      </c>
      <c r="T54" s="819">
        <f t="shared" si="18"/>
        <v>0</v>
      </c>
      <c r="U54" s="819">
        <f>+U12+U46+U52</f>
        <v>325079</v>
      </c>
      <c r="V54" s="817">
        <f>+V46+V12</f>
        <v>293453151</v>
      </c>
    </row>
    <row r="55" spans="1:31" s="63" customFormat="1" ht="12.75">
      <c r="A55" s="397"/>
      <c r="B55" s="60"/>
      <c r="C55" s="398"/>
      <c r="D55" s="398"/>
      <c r="E55" s="398"/>
      <c r="F55" s="398"/>
      <c r="G55" s="398"/>
      <c r="H55" s="398"/>
      <c r="I55" s="398"/>
      <c r="J55" s="398"/>
      <c r="K55" s="398"/>
      <c r="L55" s="399"/>
      <c r="M55" s="398"/>
      <c r="N55" s="398"/>
      <c r="O55" s="398"/>
      <c r="P55" s="398"/>
      <c r="Q55" s="398"/>
      <c r="R55" s="398"/>
      <c r="S55" s="398"/>
      <c r="T55" s="398"/>
      <c r="U55" s="398"/>
      <c r="V55" s="81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21" ht="16.5" customHeight="1">
      <c r="A56" s="397"/>
      <c r="B56" s="60"/>
      <c r="C56" s="398"/>
      <c r="D56" s="398"/>
      <c r="E56" s="398"/>
      <c r="F56" s="398"/>
      <c r="G56" s="398"/>
      <c r="H56" s="398"/>
      <c r="I56" s="398"/>
      <c r="J56" s="398"/>
      <c r="K56" s="398"/>
      <c r="L56" s="399"/>
      <c r="M56" s="398"/>
      <c r="N56" s="398"/>
      <c r="O56" s="398"/>
      <c r="P56" s="398"/>
      <c r="Q56" s="398"/>
      <c r="R56" s="398"/>
      <c r="S56" s="398"/>
      <c r="T56" s="398"/>
      <c r="U56" s="398"/>
    </row>
    <row r="57" spans="1:21" ht="30" customHeight="1">
      <c r="A57" s="397"/>
      <c r="B57" s="60"/>
      <c r="C57" s="398"/>
      <c r="D57" s="398"/>
      <c r="E57" s="398"/>
      <c r="F57" s="398"/>
      <c r="G57" s="398"/>
      <c r="H57" s="398"/>
      <c r="I57" s="398"/>
      <c r="J57" s="398"/>
      <c r="K57" s="398"/>
      <c r="L57" s="399"/>
      <c r="M57" s="398"/>
      <c r="N57" s="398"/>
      <c r="O57" s="398"/>
      <c r="P57" s="398"/>
      <c r="Q57" s="398"/>
      <c r="R57" s="398"/>
      <c r="S57" s="398"/>
      <c r="T57" s="398"/>
      <c r="U57" s="398"/>
    </row>
    <row r="58" spans="14:17" ht="30" customHeight="1">
      <c r="N58" s="153"/>
      <c r="O58" s="400"/>
      <c r="Q58" s="63"/>
    </row>
    <row r="59" spans="15:17" ht="30" customHeight="1">
      <c r="O59" s="401"/>
      <c r="Q59" s="402"/>
    </row>
    <row r="61" ht="12.75">
      <c r="B61" s="2" t="s">
        <v>45</v>
      </c>
    </row>
  </sheetData>
  <sheetProtection/>
  <mergeCells count="1">
    <mergeCell ref="C1:E1"/>
  </mergeCells>
  <printOptions horizontalCentered="1"/>
  <pageMargins left="0.2362204724409449" right="0.2362204724409449" top="1.7322834645669292" bottom="0.984251968503937" header="0.7086614173228347" footer="0.5118110236220472"/>
  <pageSetup fitToHeight="1" fitToWidth="1" horizontalDpi="600" verticalDpi="600" orientation="portrait" paperSize="9" scale="85" r:id="rId1"/>
  <headerFooter alignWithMargins="0">
    <oddHeader>&amp;L3.2.sz.melléklet&amp;C&amp;"Arial,Félkövér"Nagykovácsi Önkormányzat
 2013. évi költségvetésének 
felhalmozási kiadásai
&amp;Radatok eFt-ban</oddHeader>
    <oddFooter>&amp;L&amp;D&amp;R&amp;F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44"/>
  <sheetViews>
    <sheetView zoomScalePageLayoutView="0" workbookViewId="0" topLeftCell="A16">
      <selection activeCell="P47" sqref="P47"/>
    </sheetView>
  </sheetViews>
  <sheetFormatPr defaultColWidth="9.140625" defaultRowHeight="12.75"/>
  <cols>
    <col min="1" max="1" width="8.140625" style="3" customWidth="1"/>
    <col min="2" max="2" width="68.421875" style="3" bestFit="1" customWidth="1"/>
    <col min="3" max="3" width="13.7109375" style="3" hidden="1" customWidth="1"/>
    <col min="4" max="4" width="13.7109375" style="3" customWidth="1"/>
    <col min="5" max="5" width="13.7109375" style="3" hidden="1" customWidth="1"/>
    <col min="6" max="6" width="15.140625" style="3" hidden="1" customWidth="1"/>
    <col min="7" max="7" width="13.7109375" style="3" hidden="1" customWidth="1"/>
    <col min="8" max="10" width="16.7109375" style="3" hidden="1" customWidth="1"/>
    <col min="11" max="11" width="13.7109375" style="3" hidden="1" customWidth="1"/>
    <col min="12" max="12" width="16.7109375" style="3" hidden="1" customWidth="1"/>
    <col min="13" max="13" width="13.7109375" style="3" hidden="1" customWidth="1"/>
    <col min="14" max="14" width="14.7109375" style="3" hidden="1" customWidth="1"/>
    <col min="15" max="15" width="13.7109375" style="3" hidden="1" customWidth="1"/>
    <col min="16" max="17" width="18.28125" style="3" customWidth="1"/>
    <col min="18" max="18" width="18.28125" style="129" customWidth="1"/>
    <col min="19" max="16384" width="9.140625" style="3" customWidth="1"/>
  </cols>
  <sheetData>
    <row r="1" spans="1:19" ht="23.25" customHeight="1">
      <c r="A1" s="683"/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4"/>
      <c r="S1" s="683"/>
    </row>
    <row r="2" spans="1:19" ht="33.75" customHeight="1" thickBot="1">
      <c r="A2" s="683"/>
      <c r="B2" s="685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4"/>
      <c r="S2" s="683"/>
    </row>
    <row r="3" spans="1:19" s="54" customFormat="1" ht="12.75">
      <c r="A3" s="686" t="s">
        <v>500</v>
      </c>
      <c r="B3" s="687" t="s">
        <v>498</v>
      </c>
      <c r="C3" s="688" t="s">
        <v>96</v>
      </c>
      <c r="D3" s="689" t="s">
        <v>46</v>
      </c>
      <c r="E3" s="689" t="s">
        <v>47</v>
      </c>
      <c r="F3" s="689" t="s">
        <v>48</v>
      </c>
      <c r="G3" s="689" t="s">
        <v>203</v>
      </c>
      <c r="H3" s="689" t="s">
        <v>49</v>
      </c>
      <c r="I3" s="689" t="s">
        <v>212</v>
      </c>
      <c r="J3" s="689" t="s">
        <v>213</v>
      </c>
      <c r="K3" s="689" t="s">
        <v>50</v>
      </c>
      <c r="L3" s="689" t="s">
        <v>51</v>
      </c>
      <c r="M3" s="689" t="s">
        <v>52</v>
      </c>
      <c r="N3" s="689" t="s">
        <v>53</v>
      </c>
      <c r="O3" s="689" t="s">
        <v>54</v>
      </c>
      <c r="P3" s="689" t="s">
        <v>82</v>
      </c>
      <c r="Q3" s="689" t="s">
        <v>147</v>
      </c>
      <c r="R3" s="690" t="s">
        <v>83</v>
      </c>
      <c r="S3" s="691"/>
    </row>
    <row r="4" spans="1:19" s="54" customFormat="1" ht="13.5" thickBot="1">
      <c r="A4" s="692"/>
      <c r="B4" s="693"/>
      <c r="C4" s="694" t="s">
        <v>55</v>
      </c>
      <c r="D4" s="695" t="s">
        <v>425</v>
      </c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 t="s">
        <v>141</v>
      </c>
      <c r="Q4" s="695"/>
      <c r="R4" s="696" t="s">
        <v>285</v>
      </c>
      <c r="S4" s="691"/>
    </row>
    <row r="5" spans="1:19" s="54" customFormat="1" ht="12.75">
      <c r="A5" s="697">
        <v>1</v>
      </c>
      <c r="B5" s="698" t="s">
        <v>105</v>
      </c>
      <c r="C5" s="699"/>
      <c r="D5" s="700">
        <v>1000</v>
      </c>
      <c r="E5" s="700"/>
      <c r="F5" s="700">
        <f aca="true" t="shared" si="0" ref="F5:F20">+D5+E5</f>
        <v>1000</v>
      </c>
      <c r="G5" s="700"/>
      <c r="H5" s="700">
        <f aca="true" t="shared" si="1" ref="H5:H24">+F5+G5</f>
        <v>1000</v>
      </c>
      <c r="I5" s="700">
        <v>1000</v>
      </c>
      <c r="J5" s="701">
        <f aca="true" t="shared" si="2" ref="J5:J20">+I5/H5</f>
        <v>1</v>
      </c>
      <c r="K5" s="700"/>
      <c r="L5" s="700">
        <f aca="true" t="shared" si="3" ref="L5:L25">+H5+K5</f>
        <v>1000</v>
      </c>
      <c r="M5" s="700"/>
      <c r="N5" s="700">
        <f aca="true" t="shared" si="4" ref="N5:N25">+L5+M5</f>
        <v>1000</v>
      </c>
      <c r="O5" s="700"/>
      <c r="P5" s="700">
        <f aca="true" t="shared" si="5" ref="P5:P26">+N5+O5</f>
        <v>1000</v>
      </c>
      <c r="Q5" s="700">
        <f>+O5+P5+50</f>
        <v>1050</v>
      </c>
      <c r="R5" s="701">
        <f>+Q5/P5</f>
        <v>1.05</v>
      </c>
      <c r="S5" s="691"/>
    </row>
    <row r="6" spans="1:19" s="54" customFormat="1" ht="12.75" customHeight="1">
      <c r="A6" s="702">
        <v>2</v>
      </c>
      <c r="B6" s="703" t="s">
        <v>56</v>
      </c>
      <c r="C6" s="704"/>
      <c r="D6" s="705">
        <v>2600</v>
      </c>
      <c r="E6" s="705"/>
      <c r="F6" s="700">
        <f t="shared" si="0"/>
        <v>2600</v>
      </c>
      <c r="G6" s="705"/>
      <c r="H6" s="705">
        <f t="shared" si="1"/>
        <v>2600</v>
      </c>
      <c r="I6" s="705">
        <v>1279</v>
      </c>
      <c r="J6" s="706">
        <f t="shared" si="2"/>
        <v>0.4919230769230769</v>
      </c>
      <c r="K6" s="705"/>
      <c r="L6" s="705">
        <f t="shared" si="3"/>
        <v>2600</v>
      </c>
      <c r="M6" s="705"/>
      <c r="N6" s="705">
        <f t="shared" si="4"/>
        <v>2600</v>
      </c>
      <c r="O6" s="705"/>
      <c r="P6" s="705">
        <f t="shared" si="5"/>
        <v>2600</v>
      </c>
      <c r="Q6" s="705">
        <v>2644</v>
      </c>
      <c r="R6" s="706">
        <f aca="true" t="shared" si="6" ref="R6:R42">+Q6/P6</f>
        <v>1.0169230769230768</v>
      </c>
      <c r="S6" s="691"/>
    </row>
    <row r="7" spans="1:19" s="55" customFormat="1" ht="12.75">
      <c r="A7" s="702">
        <v>3</v>
      </c>
      <c r="B7" s="707" t="s">
        <v>103</v>
      </c>
      <c r="C7" s="708"/>
      <c r="D7" s="705">
        <v>1000</v>
      </c>
      <c r="E7" s="705"/>
      <c r="F7" s="700">
        <f t="shared" si="0"/>
        <v>1000</v>
      </c>
      <c r="G7" s="705"/>
      <c r="H7" s="705">
        <f t="shared" si="1"/>
        <v>1000</v>
      </c>
      <c r="I7" s="705">
        <v>500</v>
      </c>
      <c r="J7" s="706">
        <f t="shared" si="2"/>
        <v>0.5</v>
      </c>
      <c r="K7" s="705"/>
      <c r="L7" s="705">
        <f t="shared" si="3"/>
        <v>1000</v>
      </c>
      <c r="M7" s="705"/>
      <c r="N7" s="705">
        <f t="shared" si="4"/>
        <v>1000</v>
      </c>
      <c r="O7" s="705"/>
      <c r="P7" s="705">
        <f t="shared" si="5"/>
        <v>1000</v>
      </c>
      <c r="Q7" s="705">
        <f aca="true" t="shared" si="7" ref="Q7:Q25">+O7+P7</f>
        <v>1000</v>
      </c>
      <c r="R7" s="706">
        <f t="shared" si="6"/>
        <v>1</v>
      </c>
      <c r="S7" s="709"/>
    </row>
    <row r="8" spans="1:19" s="55" customFormat="1" ht="12.75" customHeight="1">
      <c r="A8" s="702">
        <v>4</v>
      </c>
      <c r="B8" s="707" t="s">
        <v>104</v>
      </c>
      <c r="C8" s="708"/>
      <c r="D8" s="705">
        <v>1000</v>
      </c>
      <c r="E8" s="705"/>
      <c r="F8" s="700">
        <f t="shared" si="0"/>
        <v>1000</v>
      </c>
      <c r="G8" s="705"/>
      <c r="H8" s="705">
        <f t="shared" si="1"/>
        <v>1000</v>
      </c>
      <c r="I8" s="705">
        <v>500</v>
      </c>
      <c r="J8" s="706">
        <f t="shared" si="2"/>
        <v>0.5</v>
      </c>
      <c r="K8" s="705"/>
      <c r="L8" s="705">
        <f t="shared" si="3"/>
        <v>1000</v>
      </c>
      <c r="M8" s="705"/>
      <c r="N8" s="705">
        <f t="shared" si="4"/>
        <v>1000</v>
      </c>
      <c r="O8" s="705"/>
      <c r="P8" s="705">
        <f t="shared" si="5"/>
        <v>1000</v>
      </c>
      <c r="Q8" s="705">
        <f t="shared" si="7"/>
        <v>1000</v>
      </c>
      <c r="R8" s="706">
        <f t="shared" si="6"/>
        <v>1</v>
      </c>
      <c r="S8" s="709"/>
    </row>
    <row r="9" spans="1:19" s="55" customFormat="1" ht="12.75" customHeight="1">
      <c r="A9" s="702">
        <v>5</v>
      </c>
      <c r="B9" s="707" t="s">
        <v>57</v>
      </c>
      <c r="C9" s="708"/>
      <c r="D9" s="705"/>
      <c r="E9" s="705">
        <v>100</v>
      </c>
      <c r="F9" s="700">
        <f t="shared" si="0"/>
        <v>100</v>
      </c>
      <c r="G9" s="705"/>
      <c r="H9" s="705">
        <f t="shared" si="1"/>
        <v>100</v>
      </c>
      <c r="I9" s="705">
        <v>100</v>
      </c>
      <c r="J9" s="706">
        <f t="shared" si="2"/>
        <v>1</v>
      </c>
      <c r="K9" s="705"/>
      <c r="L9" s="705">
        <f t="shared" si="3"/>
        <v>100</v>
      </c>
      <c r="M9" s="705"/>
      <c r="N9" s="705">
        <f t="shared" si="4"/>
        <v>100</v>
      </c>
      <c r="O9" s="705"/>
      <c r="P9" s="705">
        <f t="shared" si="5"/>
        <v>100</v>
      </c>
      <c r="Q9" s="705">
        <f t="shared" si="7"/>
        <v>100</v>
      </c>
      <c r="R9" s="706">
        <f t="shared" si="6"/>
        <v>1</v>
      </c>
      <c r="S9" s="709"/>
    </row>
    <row r="10" spans="1:19" s="55" customFormat="1" ht="12.75" customHeight="1">
      <c r="A10" s="710">
        <v>6</v>
      </c>
      <c r="B10" s="711" t="s">
        <v>58</v>
      </c>
      <c r="C10" s="712"/>
      <c r="D10" s="713"/>
      <c r="E10" s="713">
        <v>400</v>
      </c>
      <c r="F10" s="700">
        <f t="shared" si="0"/>
        <v>400</v>
      </c>
      <c r="G10" s="713"/>
      <c r="H10" s="713">
        <f t="shared" si="1"/>
        <v>400</v>
      </c>
      <c r="I10" s="713">
        <v>400</v>
      </c>
      <c r="J10" s="714">
        <f t="shared" si="2"/>
        <v>1</v>
      </c>
      <c r="K10" s="713"/>
      <c r="L10" s="713">
        <f t="shared" si="3"/>
        <v>400</v>
      </c>
      <c r="M10" s="713"/>
      <c r="N10" s="713">
        <f t="shared" si="4"/>
        <v>400</v>
      </c>
      <c r="O10" s="713"/>
      <c r="P10" s="713">
        <f t="shared" si="5"/>
        <v>400</v>
      </c>
      <c r="Q10" s="713">
        <f t="shared" si="7"/>
        <v>400</v>
      </c>
      <c r="R10" s="714">
        <f t="shared" si="6"/>
        <v>1</v>
      </c>
      <c r="S10" s="709"/>
    </row>
    <row r="11" spans="1:19" s="55" customFormat="1" ht="12.75" customHeight="1">
      <c r="A11" s="710">
        <v>7</v>
      </c>
      <c r="B11" s="711" t="s">
        <v>59</v>
      </c>
      <c r="C11" s="712"/>
      <c r="D11" s="713"/>
      <c r="E11" s="713">
        <v>350</v>
      </c>
      <c r="F11" s="700">
        <f t="shared" si="0"/>
        <v>350</v>
      </c>
      <c r="G11" s="713"/>
      <c r="H11" s="713">
        <f t="shared" si="1"/>
        <v>350</v>
      </c>
      <c r="I11" s="713">
        <v>350</v>
      </c>
      <c r="J11" s="714">
        <f t="shared" si="2"/>
        <v>1</v>
      </c>
      <c r="K11" s="713"/>
      <c r="L11" s="713">
        <f t="shared" si="3"/>
        <v>350</v>
      </c>
      <c r="M11" s="713"/>
      <c r="N11" s="713">
        <f t="shared" si="4"/>
        <v>350</v>
      </c>
      <c r="O11" s="713"/>
      <c r="P11" s="713">
        <f t="shared" si="5"/>
        <v>350</v>
      </c>
      <c r="Q11" s="713">
        <f t="shared" si="7"/>
        <v>350</v>
      </c>
      <c r="R11" s="714">
        <f t="shared" si="6"/>
        <v>1</v>
      </c>
      <c r="S11" s="709"/>
    </row>
    <row r="12" spans="1:19" s="55" customFormat="1" ht="12.75" customHeight="1">
      <c r="A12" s="710">
        <v>8</v>
      </c>
      <c r="B12" s="711" t="s">
        <v>60</v>
      </c>
      <c r="C12" s="712"/>
      <c r="D12" s="713"/>
      <c r="E12" s="713">
        <f>112+100+250</f>
        <v>462</v>
      </c>
      <c r="F12" s="700">
        <f t="shared" si="0"/>
        <v>462</v>
      </c>
      <c r="G12" s="713"/>
      <c r="H12" s="713">
        <f t="shared" si="1"/>
        <v>462</v>
      </c>
      <c r="I12" s="713">
        <f>250+112+100</f>
        <v>462</v>
      </c>
      <c r="J12" s="714">
        <f t="shared" si="2"/>
        <v>1</v>
      </c>
      <c r="K12" s="713"/>
      <c r="L12" s="713">
        <f t="shared" si="3"/>
        <v>462</v>
      </c>
      <c r="M12" s="713"/>
      <c r="N12" s="713">
        <f t="shared" si="4"/>
        <v>462</v>
      </c>
      <c r="O12" s="713"/>
      <c r="P12" s="713">
        <f t="shared" si="5"/>
        <v>462</v>
      </c>
      <c r="Q12" s="713">
        <f>112+100+250</f>
        <v>462</v>
      </c>
      <c r="R12" s="714">
        <f t="shared" si="6"/>
        <v>1</v>
      </c>
      <c r="S12" s="709"/>
    </row>
    <row r="13" spans="1:19" s="55" customFormat="1" ht="12.75" customHeight="1">
      <c r="A13" s="710">
        <v>9</v>
      </c>
      <c r="B13" s="711" t="s">
        <v>61</v>
      </c>
      <c r="C13" s="712"/>
      <c r="D13" s="713"/>
      <c r="E13" s="713">
        <f>675+400+400</f>
        <v>1475</v>
      </c>
      <c r="F13" s="700">
        <f t="shared" si="0"/>
        <v>1475</v>
      </c>
      <c r="G13" s="713"/>
      <c r="H13" s="713">
        <f t="shared" si="1"/>
        <v>1475</v>
      </c>
      <c r="I13" s="713">
        <f>675+400+400</f>
        <v>1475</v>
      </c>
      <c r="J13" s="714">
        <f t="shared" si="2"/>
        <v>1</v>
      </c>
      <c r="K13" s="713"/>
      <c r="L13" s="713">
        <f t="shared" si="3"/>
        <v>1475</v>
      </c>
      <c r="M13" s="713"/>
      <c r="N13" s="713">
        <f t="shared" si="4"/>
        <v>1475</v>
      </c>
      <c r="O13" s="713"/>
      <c r="P13" s="713">
        <f t="shared" si="5"/>
        <v>1475</v>
      </c>
      <c r="Q13" s="713">
        <f>675+400+400</f>
        <v>1475</v>
      </c>
      <c r="R13" s="714">
        <f t="shared" si="6"/>
        <v>1</v>
      </c>
      <c r="S13" s="709"/>
    </row>
    <row r="14" spans="1:19" s="55" customFormat="1" ht="12.75" customHeight="1">
      <c r="A14" s="710">
        <v>10</v>
      </c>
      <c r="B14" s="711" t="s">
        <v>62</v>
      </c>
      <c r="C14" s="712"/>
      <c r="D14" s="713"/>
      <c r="E14" s="713">
        <v>200</v>
      </c>
      <c r="F14" s="700">
        <f t="shared" si="0"/>
        <v>200</v>
      </c>
      <c r="G14" s="713"/>
      <c r="H14" s="713">
        <f t="shared" si="1"/>
        <v>200</v>
      </c>
      <c r="I14" s="713">
        <v>200</v>
      </c>
      <c r="J14" s="714">
        <f t="shared" si="2"/>
        <v>1</v>
      </c>
      <c r="K14" s="713"/>
      <c r="L14" s="713">
        <f t="shared" si="3"/>
        <v>200</v>
      </c>
      <c r="M14" s="713"/>
      <c r="N14" s="713">
        <f t="shared" si="4"/>
        <v>200</v>
      </c>
      <c r="O14" s="713"/>
      <c r="P14" s="713">
        <f t="shared" si="5"/>
        <v>200</v>
      </c>
      <c r="Q14" s="713">
        <f t="shared" si="7"/>
        <v>200</v>
      </c>
      <c r="R14" s="714">
        <f t="shared" si="6"/>
        <v>1</v>
      </c>
      <c r="S14" s="709"/>
    </row>
    <row r="15" spans="1:19" s="55" customFormat="1" ht="12.75" customHeight="1">
      <c r="A15" s="710">
        <v>11</v>
      </c>
      <c r="B15" s="711" t="s">
        <v>63</v>
      </c>
      <c r="C15" s="712"/>
      <c r="D15" s="713"/>
      <c r="E15" s="713">
        <v>400</v>
      </c>
      <c r="F15" s="700">
        <f t="shared" si="0"/>
        <v>400</v>
      </c>
      <c r="G15" s="713"/>
      <c r="H15" s="713">
        <f t="shared" si="1"/>
        <v>400</v>
      </c>
      <c r="I15" s="713">
        <v>400</v>
      </c>
      <c r="J15" s="714">
        <f t="shared" si="2"/>
        <v>1</v>
      </c>
      <c r="K15" s="713"/>
      <c r="L15" s="713">
        <f t="shared" si="3"/>
        <v>400</v>
      </c>
      <c r="M15" s="713"/>
      <c r="N15" s="713">
        <f t="shared" si="4"/>
        <v>400</v>
      </c>
      <c r="O15" s="713"/>
      <c r="P15" s="713">
        <f t="shared" si="5"/>
        <v>400</v>
      </c>
      <c r="Q15" s="713">
        <f t="shared" si="7"/>
        <v>400</v>
      </c>
      <c r="R15" s="714">
        <f t="shared" si="6"/>
        <v>1</v>
      </c>
      <c r="S15" s="709"/>
    </row>
    <row r="16" spans="1:19" s="55" customFormat="1" ht="12.75" customHeight="1">
      <c r="A16" s="710">
        <v>12</v>
      </c>
      <c r="B16" s="711" t="s">
        <v>64</v>
      </c>
      <c r="C16" s="712"/>
      <c r="D16" s="713">
        <f>4000-D9-D10-D11-D12-D13-D14-D15</f>
        <v>4000</v>
      </c>
      <c r="E16" s="713">
        <f>-SUM(E9:E15)</f>
        <v>-3387</v>
      </c>
      <c r="F16" s="700">
        <f t="shared" si="0"/>
        <v>613</v>
      </c>
      <c r="G16" s="713"/>
      <c r="H16" s="713">
        <f t="shared" si="1"/>
        <v>613</v>
      </c>
      <c r="I16" s="713"/>
      <c r="J16" s="714">
        <f t="shared" si="2"/>
        <v>0</v>
      </c>
      <c r="K16" s="713">
        <f>-120-25-400</f>
        <v>-545</v>
      </c>
      <c r="L16" s="713">
        <f t="shared" si="3"/>
        <v>68</v>
      </c>
      <c r="M16" s="713"/>
      <c r="N16" s="713">
        <f t="shared" si="4"/>
        <v>68</v>
      </c>
      <c r="O16" s="713"/>
      <c r="P16" s="713">
        <f t="shared" si="5"/>
        <v>68</v>
      </c>
      <c r="Q16" s="713"/>
      <c r="R16" s="714">
        <f t="shared" si="6"/>
        <v>0</v>
      </c>
      <c r="S16" s="709"/>
    </row>
    <row r="17" spans="1:19" s="55" customFormat="1" ht="12.75" customHeight="1">
      <c r="A17" s="710">
        <v>13</v>
      </c>
      <c r="B17" s="711" t="s">
        <v>65</v>
      </c>
      <c r="C17" s="712"/>
      <c r="D17" s="713">
        <v>500</v>
      </c>
      <c r="E17" s="713"/>
      <c r="F17" s="700">
        <f t="shared" si="0"/>
        <v>500</v>
      </c>
      <c r="G17" s="713"/>
      <c r="H17" s="713">
        <f t="shared" si="1"/>
        <v>500</v>
      </c>
      <c r="I17" s="713">
        <v>500</v>
      </c>
      <c r="J17" s="714">
        <f t="shared" si="2"/>
        <v>1</v>
      </c>
      <c r="K17" s="713"/>
      <c r="L17" s="713">
        <f t="shared" si="3"/>
        <v>500</v>
      </c>
      <c r="M17" s="713"/>
      <c r="N17" s="713">
        <f t="shared" si="4"/>
        <v>500</v>
      </c>
      <c r="O17" s="713"/>
      <c r="P17" s="713">
        <f t="shared" si="5"/>
        <v>500</v>
      </c>
      <c r="Q17" s="713">
        <f t="shared" si="7"/>
        <v>500</v>
      </c>
      <c r="R17" s="714">
        <f t="shared" si="6"/>
        <v>1</v>
      </c>
      <c r="S17" s="709"/>
    </row>
    <row r="18" spans="1:19" s="55" customFormat="1" ht="12.75" customHeight="1">
      <c r="A18" s="710">
        <v>14</v>
      </c>
      <c r="B18" s="711" t="s">
        <v>66</v>
      </c>
      <c r="C18" s="712"/>
      <c r="D18" s="713">
        <v>500</v>
      </c>
      <c r="E18" s="713"/>
      <c r="F18" s="700">
        <f t="shared" si="0"/>
        <v>500</v>
      </c>
      <c r="G18" s="713"/>
      <c r="H18" s="713">
        <f t="shared" si="1"/>
        <v>500</v>
      </c>
      <c r="I18" s="713">
        <v>500</v>
      </c>
      <c r="J18" s="714">
        <f t="shared" si="2"/>
        <v>1</v>
      </c>
      <c r="K18" s="713"/>
      <c r="L18" s="713">
        <f t="shared" si="3"/>
        <v>500</v>
      </c>
      <c r="M18" s="713"/>
      <c r="N18" s="713">
        <f t="shared" si="4"/>
        <v>500</v>
      </c>
      <c r="O18" s="713"/>
      <c r="P18" s="713">
        <f t="shared" si="5"/>
        <v>500</v>
      </c>
      <c r="Q18" s="713">
        <f t="shared" si="7"/>
        <v>500</v>
      </c>
      <c r="R18" s="714">
        <f t="shared" si="6"/>
        <v>1</v>
      </c>
      <c r="S18" s="709"/>
    </row>
    <row r="19" spans="1:19" s="55" customFormat="1" ht="12.75" customHeight="1">
      <c r="A19" s="710">
        <v>15</v>
      </c>
      <c r="B19" s="711" t="s">
        <v>540</v>
      </c>
      <c r="C19" s="712"/>
      <c r="D19" s="713">
        <f>+'[9]2.sz. Szakfeladat összesítő'!$AK$30</f>
        <v>1270</v>
      </c>
      <c r="E19" s="713"/>
      <c r="F19" s="700">
        <f t="shared" si="0"/>
        <v>1270</v>
      </c>
      <c r="G19" s="713"/>
      <c r="H19" s="713">
        <f t="shared" si="1"/>
        <v>1270</v>
      </c>
      <c r="I19" s="713">
        <f>635-170</f>
        <v>465</v>
      </c>
      <c r="J19" s="714">
        <f t="shared" si="2"/>
        <v>0.3661417322834646</v>
      </c>
      <c r="K19" s="713"/>
      <c r="L19" s="713">
        <f t="shared" si="3"/>
        <v>1270</v>
      </c>
      <c r="M19" s="713"/>
      <c r="N19" s="713">
        <f t="shared" si="4"/>
        <v>1270</v>
      </c>
      <c r="O19" s="713"/>
      <c r="P19" s="713">
        <f t="shared" si="5"/>
        <v>1270</v>
      </c>
      <c r="Q19" s="713">
        <f>1270-170-50</f>
        <v>1050</v>
      </c>
      <c r="R19" s="714">
        <f t="shared" si="6"/>
        <v>0.8267716535433071</v>
      </c>
      <c r="S19" s="709"/>
    </row>
    <row r="20" spans="1:19" s="55" customFormat="1" ht="12.75" customHeight="1">
      <c r="A20" s="710">
        <v>16</v>
      </c>
      <c r="B20" s="711" t="s">
        <v>67</v>
      </c>
      <c r="C20" s="712"/>
      <c r="D20" s="713"/>
      <c r="E20" s="713">
        <v>254</v>
      </c>
      <c r="F20" s="700">
        <f t="shared" si="0"/>
        <v>254</v>
      </c>
      <c r="G20" s="713"/>
      <c r="H20" s="713">
        <f t="shared" si="1"/>
        <v>254</v>
      </c>
      <c r="I20" s="713"/>
      <c r="J20" s="714">
        <f t="shared" si="2"/>
        <v>0</v>
      </c>
      <c r="K20" s="713"/>
      <c r="L20" s="713">
        <f t="shared" si="3"/>
        <v>254</v>
      </c>
      <c r="M20" s="713"/>
      <c r="N20" s="713">
        <f t="shared" si="4"/>
        <v>254</v>
      </c>
      <c r="O20" s="713"/>
      <c r="P20" s="713">
        <f t="shared" si="5"/>
        <v>254</v>
      </c>
      <c r="Q20" s="713"/>
      <c r="R20" s="714">
        <f t="shared" si="6"/>
        <v>0</v>
      </c>
      <c r="S20" s="709" t="s">
        <v>538</v>
      </c>
    </row>
    <row r="21" spans="1:19" s="55" customFormat="1" ht="12.75" customHeight="1">
      <c r="A21" s="710">
        <v>17</v>
      </c>
      <c r="B21" s="711" t="s">
        <v>142</v>
      </c>
      <c r="C21" s="712"/>
      <c r="D21" s="713"/>
      <c r="E21" s="713"/>
      <c r="F21" s="700"/>
      <c r="G21" s="713"/>
      <c r="H21" s="713">
        <f t="shared" si="1"/>
        <v>0</v>
      </c>
      <c r="I21" s="713"/>
      <c r="J21" s="714"/>
      <c r="K21" s="713">
        <v>120</v>
      </c>
      <c r="L21" s="713">
        <f t="shared" si="3"/>
        <v>120</v>
      </c>
      <c r="M21" s="713"/>
      <c r="N21" s="713">
        <f t="shared" si="4"/>
        <v>120</v>
      </c>
      <c r="O21" s="713"/>
      <c r="P21" s="713">
        <f t="shared" si="5"/>
        <v>120</v>
      </c>
      <c r="Q21" s="713"/>
      <c r="R21" s="714">
        <f t="shared" si="6"/>
        <v>0</v>
      </c>
      <c r="S21" s="709" t="s">
        <v>538</v>
      </c>
    </row>
    <row r="22" spans="1:19" s="55" customFormat="1" ht="12.75" customHeight="1">
      <c r="A22" s="710">
        <v>19</v>
      </c>
      <c r="B22" s="711" t="s">
        <v>69</v>
      </c>
      <c r="C22" s="712"/>
      <c r="D22" s="713"/>
      <c r="E22" s="713"/>
      <c r="F22" s="700"/>
      <c r="G22" s="713"/>
      <c r="H22" s="713">
        <f t="shared" si="1"/>
        <v>0</v>
      </c>
      <c r="I22" s="713">
        <v>127</v>
      </c>
      <c r="J22" s="714"/>
      <c r="K22" s="713">
        <v>127</v>
      </c>
      <c r="L22" s="713">
        <f t="shared" si="3"/>
        <v>127</v>
      </c>
      <c r="M22" s="713"/>
      <c r="N22" s="713">
        <f t="shared" si="4"/>
        <v>127</v>
      </c>
      <c r="O22" s="713"/>
      <c r="P22" s="713">
        <f t="shared" si="5"/>
        <v>127</v>
      </c>
      <c r="Q22" s="713">
        <f t="shared" si="7"/>
        <v>127</v>
      </c>
      <c r="R22" s="714">
        <f t="shared" si="6"/>
        <v>1</v>
      </c>
      <c r="S22" s="709"/>
    </row>
    <row r="23" spans="1:19" s="55" customFormat="1" ht="12.75" customHeight="1">
      <c r="A23" s="710">
        <v>20</v>
      </c>
      <c r="B23" s="711" t="s">
        <v>70</v>
      </c>
      <c r="C23" s="712"/>
      <c r="D23" s="713"/>
      <c r="E23" s="713"/>
      <c r="F23" s="700"/>
      <c r="G23" s="713">
        <v>50669</v>
      </c>
      <c r="H23" s="713">
        <f t="shared" si="1"/>
        <v>50669</v>
      </c>
      <c r="I23" s="713"/>
      <c r="J23" s="714">
        <f>+I23/H23</f>
        <v>0</v>
      </c>
      <c r="K23" s="713"/>
      <c r="L23" s="713">
        <f t="shared" si="3"/>
        <v>50669</v>
      </c>
      <c r="M23" s="713"/>
      <c r="N23" s="713">
        <f t="shared" si="4"/>
        <v>50669</v>
      </c>
      <c r="O23" s="713"/>
      <c r="P23" s="713">
        <f t="shared" si="5"/>
        <v>50669</v>
      </c>
      <c r="Q23" s="713">
        <f t="shared" si="7"/>
        <v>50669</v>
      </c>
      <c r="R23" s="714">
        <f t="shared" si="6"/>
        <v>1</v>
      </c>
      <c r="S23" s="709"/>
    </row>
    <row r="24" spans="1:19" s="55" customFormat="1" ht="12.75" customHeight="1" hidden="1">
      <c r="A24" s="710"/>
      <c r="B24" s="711" t="s">
        <v>71</v>
      </c>
      <c r="C24" s="712"/>
      <c r="D24" s="713"/>
      <c r="E24" s="713"/>
      <c r="F24" s="700"/>
      <c r="G24" s="713"/>
      <c r="H24" s="713">
        <f t="shared" si="1"/>
        <v>0</v>
      </c>
      <c r="I24" s="713"/>
      <c r="J24" s="714"/>
      <c r="K24" s="713">
        <v>10000</v>
      </c>
      <c r="L24" s="713">
        <f t="shared" si="3"/>
        <v>10000</v>
      </c>
      <c r="M24" s="713">
        <v>-10000</v>
      </c>
      <c r="N24" s="713">
        <f t="shared" si="4"/>
        <v>0</v>
      </c>
      <c r="O24" s="713"/>
      <c r="P24" s="713">
        <f t="shared" si="5"/>
        <v>0</v>
      </c>
      <c r="Q24" s="713">
        <f t="shared" si="7"/>
        <v>0</v>
      </c>
      <c r="R24" s="714"/>
      <c r="S24" s="709"/>
    </row>
    <row r="25" spans="1:19" s="55" customFormat="1" ht="12.75" customHeight="1">
      <c r="A25" s="710">
        <v>21</v>
      </c>
      <c r="B25" s="711" t="s">
        <v>73</v>
      </c>
      <c r="C25" s="712"/>
      <c r="D25" s="713"/>
      <c r="E25" s="713"/>
      <c r="F25" s="700"/>
      <c r="G25" s="713"/>
      <c r="H25" s="713"/>
      <c r="I25" s="713"/>
      <c r="J25" s="714"/>
      <c r="K25" s="713">
        <v>400</v>
      </c>
      <c r="L25" s="713">
        <f t="shared" si="3"/>
        <v>400</v>
      </c>
      <c r="M25" s="713"/>
      <c r="N25" s="713">
        <f t="shared" si="4"/>
        <v>400</v>
      </c>
      <c r="O25" s="713"/>
      <c r="P25" s="713">
        <f t="shared" si="5"/>
        <v>400</v>
      </c>
      <c r="Q25" s="713">
        <f t="shared" si="7"/>
        <v>400</v>
      </c>
      <c r="R25" s="714">
        <f t="shared" si="6"/>
        <v>1</v>
      </c>
      <c r="S25" s="709"/>
    </row>
    <row r="26" spans="1:19" s="55" customFormat="1" ht="12.75" customHeight="1">
      <c r="A26" s="710">
        <v>22</v>
      </c>
      <c r="B26" s="711" t="s">
        <v>74</v>
      </c>
      <c r="C26" s="712"/>
      <c r="D26" s="713"/>
      <c r="E26" s="713"/>
      <c r="F26" s="700"/>
      <c r="G26" s="713"/>
      <c r="H26" s="713"/>
      <c r="I26" s="713"/>
      <c r="J26" s="714"/>
      <c r="K26" s="713"/>
      <c r="L26" s="713"/>
      <c r="M26" s="713"/>
      <c r="N26" s="713"/>
      <c r="O26" s="713">
        <v>3000</v>
      </c>
      <c r="P26" s="713">
        <f t="shared" si="5"/>
        <v>3000</v>
      </c>
      <c r="Q26" s="713">
        <v>2600</v>
      </c>
      <c r="R26" s="714">
        <f t="shared" si="6"/>
        <v>0.8666666666666667</v>
      </c>
      <c r="S26" s="709"/>
    </row>
    <row r="27" spans="1:19" s="55" customFormat="1" ht="12.75" customHeight="1" thickBot="1">
      <c r="A27" s="710">
        <v>23</v>
      </c>
      <c r="B27" s="711" t="s">
        <v>95</v>
      </c>
      <c r="C27" s="712"/>
      <c r="D27" s="713"/>
      <c r="E27" s="713"/>
      <c r="F27" s="700"/>
      <c r="G27" s="713"/>
      <c r="H27" s="713"/>
      <c r="I27" s="713"/>
      <c r="J27" s="714"/>
      <c r="K27" s="713"/>
      <c r="L27" s="713"/>
      <c r="M27" s="713"/>
      <c r="N27" s="713"/>
      <c r="O27" s="713"/>
      <c r="P27" s="713"/>
      <c r="Q27" s="713">
        <v>55</v>
      </c>
      <c r="R27" s="714"/>
      <c r="S27" s="709"/>
    </row>
    <row r="28" spans="1:19" ht="24.75" customHeight="1" thickBot="1">
      <c r="A28" s="715"/>
      <c r="B28" s="716" t="s">
        <v>76</v>
      </c>
      <c r="C28" s="717">
        <f>SUM(C5:C19)</f>
        <v>0</v>
      </c>
      <c r="D28" s="718">
        <f>SUM(D5:D26)</f>
        <v>11870</v>
      </c>
      <c r="E28" s="718">
        <f aca="true" t="shared" si="8" ref="E28:Q28">SUM(E5:E26)</f>
        <v>254</v>
      </c>
      <c r="F28" s="718">
        <f t="shared" si="8"/>
        <v>12124</v>
      </c>
      <c r="G28" s="718">
        <f t="shared" si="8"/>
        <v>50669</v>
      </c>
      <c r="H28" s="718">
        <f t="shared" si="8"/>
        <v>62793</v>
      </c>
      <c r="I28" s="718">
        <f t="shared" si="8"/>
        <v>8258</v>
      </c>
      <c r="J28" s="718">
        <f t="shared" si="8"/>
        <v>11.85806480920654</v>
      </c>
      <c r="K28" s="718">
        <f t="shared" si="8"/>
        <v>10102</v>
      </c>
      <c r="L28" s="718">
        <f t="shared" si="8"/>
        <v>72895</v>
      </c>
      <c r="M28" s="718">
        <f t="shared" si="8"/>
        <v>-10000</v>
      </c>
      <c r="N28" s="718">
        <f t="shared" si="8"/>
        <v>62895</v>
      </c>
      <c r="O28" s="718">
        <f t="shared" si="8"/>
        <v>3000</v>
      </c>
      <c r="P28" s="718">
        <f t="shared" si="8"/>
        <v>65895</v>
      </c>
      <c r="Q28" s="718">
        <f t="shared" si="8"/>
        <v>64927</v>
      </c>
      <c r="R28" s="719">
        <f t="shared" si="6"/>
        <v>0.9853099628196373</v>
      </c>
      <c r="S28" s="683"/>
    </row>
    <row r="29" spans="1:19" s="168" customFormat="1" ht="12.75">
      <c r="A29" s="445"/>
      <c r="B29" s="720"/>
      <c r="C29" s="721"/>
      <c r="D29" s="721"/>
      <c r="E29" s="721"/>
      <c r="F29" s="721"/>
      <c r="G29" s="721"/>
      <c r="H29" s="721"/>
      <c r="I29" s="721"/>
      <c r="J29" s="722"/>
      <c r="K29" s="721"/>
      <c r="L29" s="721"/>
      <c r="M29" s="721"/>
      <c r="N29" s="723">
        <f aca="true" t="shared" si="9" ref="N29:N34">+L29+M29</f>
        <v>0</v>
      </c>
      <c r="O29" s="721"/>
      <c r="P29" s="721"/>
      <c r="Q29" s="721"/>
      <c r="R29" s="722"/>
      <c r="S29" s="721"/>
    </row>
    <row r="30" spans="1:19" s="8" customFormat="1" ht="13.5" thickBot="1">
      <c r="A30" s="445"/>
      <c r="B30" s="720"/>
      <c r="C30" s="721"/>
      <c r="D30" s="721"/>
      <c r="E30" s="721"/>
      <c r="F30" s="721"/>
      <c r="G30" s="721"/>
      <c r="H30" s="721"/>
      <c r="I30" s="721"/>
      <c r="J30" s="722"/>
      <c r="K30" s="721"/>
      <c r="L30" s="721"/>
      <c r="M30" s="721"/>
      <c r="N30" s="723">
        <f t="shared" si="9"/>
        <v>0</v>
      </c>
      <c r="O30" s="721"/>
      <c r="P30" s="721"/>
      <c r="Q30" s="721"/>
      <c r="R30" s="722"/>
      <c r="S30" s="683"/>
    </row>
    <row r="31" spans="1:19" s="55" customFormat="1" ht="12.75">
      <c r="A31" s="724">
        <v>1</v>
      </c>
      <c r="B31" s="725" t="s">
        <v>95</v>
      </c>
      <c r="C31" s="726"/>
      <c r="D31" s="727">
        <v>315</v>
      </c>
      <c r="E31" s="727"/>
      <c r="F31" s="727">
        <v>315</v>
      </c>
      <c r="G31" s="727"/>
      <c r="H31" s="727">
        <f>+F31+G31</f>
        <v>315</v>
      </c>
      <c r="I31" s="727">
        <f>82.2+54.8</f>
        <v>137</v>
      </c>
      <c r="J31" s="728">
        <f>+I31/H31</f>
        <v>0.43492063492063493</v>
      </c>
      <c r="K31" s="727"/>
      <c r="L31" s="727">
        <f>+H31+K31</f>
        <v>315</v>
      </c>
      <c r="M31" s="727"/>
      <c r="N31" s="727">
        <f t="shared" si="9"/>
        <v>315</v>
      </c>
      <c r="O31" s="727"/>
      <c r="P31" s="727">
        <f aca="true" t="shared" si="10" ref="P31:P37">+N31+O31</f>
        <v>315</v>
      </c>
      <c r="Q31" s="727">
        <f>247</f>
        <v>247</v>
      </c>
      <c r="R31" s="728">
        <f t="shared" si="6"/>
        <v>0.7841269841269841</v>
      </c>
      <c r="S31" s="709"/>
    </row>
    <row r="32" spans="1:19" s="55" customFormat="1" ht="12.75">
      <c r="A32" s="702">
        <v>2</v>
      </c>
      <c r="B32" s="707" t="s">
        <v>77</v>
      </c>
      <c r="C32" s="708"/>
      <c r="D32" s="705">
        <v>6153</v>
      </c>
      <c r="E32" s="705"/>
      <c r="F32" s="705">
        <v>6153</v>
      </c>
      <c r="G32" s="705"/>
      <c r="H32" s="705">
        <f>+F32+G32</f>
        <v>6153</v>
      </c>
      <c r="I32" s="705"/>
      <c r="J32" s="706">
        <f>+I32/H32</f>
        <v>0</v>
      </c>
      <c r="K32" s="705"/>
      <c r="L32" s="705">
        <f>+H32+K32</f>
        <v>6153</v>
      </c>
      <c r="M32" s="705">
        <v>-1300</v>
      </c>
      <c r="N32" s="705">
        <f t="shared" si="9"/>
        <v>4853</v>
      </c>
      <c r="O32" s="705"/>
      <c r="P32" s="705">
        <f t="shared" si="10"/>
        <v>4853</v>
      </c>
      <c r="Q32" s="705">
        <v>4842</v>
      </c>
      <c r="R32" s="706">
        <f t="shared" si="6"/>
        <v>0.9977333608077478</v>
      </c>
      <c r="S32" s="709"/>
    </row>
    <row r="33" spans="1:19" s="55" customFormat="1" ht="12.75">
      <c r="A33" s="702">
        <v>3</v>
      </c>
      <c r="B33" s="707" t="s">
        <v>78</v>
      </c>
      <c r="C33" s="708"/>
      <c r="D33" s="705">
        <v>3490</v>
      </c>
      <c r="E33" s="705"/>
      <c r="F33" s="705">
        <v>3490</v>
      </c>
      <c r="G33" s="705"/>
      <c r="H33" s="705">
        <f>+F33+G33</f>
        <v>3490</v>
      </c>
      <c r="I33" s="705"/>
      <c r="J33" s="706">
        <f>+I33/H33</f>
        <v>0</v>
      </c>
      <c r="K33" s="705"/>
      <c r="L33" s="705">
        <f>+H33+K33</f>
        <v>3490</v>
      </c>
      <c r="M33" s="705"/>
      <c r="N33" s="705">
        <f t="shared" si="9"/>
        <v>3490</v>
      </c>
      <c r="O33" s="705"/>
      <c r="P33" s="705">
        <f t="shared" si="10"/>
        <v>3490</v>
      </c>
      <c r="Q33" s="705">
        <v>3099</v>
      </c>
      <c r="R33" s="706">
        <f t="shared" si="6"/>
        <v>0.8879656160458452</v>
      </c>
      <c r="S33" s="709"/>
    </row>
    <row r="34" spans="1:19" s="55" customFormat="1" ht="12.75">
      <c r="A34" s="702">
        <v>4</v>
      </c>
      <c r="B34" s="707" t="s">
        <v>79</v>
      </c>
      <c r="C34" s="708"/>
      <c r="D34" s="705"/>
      <c r="E34" s="705"/>
      <c r="F34" s="705"/>
      <c r="G34" s="705"/>
      <c r="H34" s="705"/>
      <c r="I34" s="705"/>
      <c r="J34" s="706"/>
      <c r="K34" s="705"/>
      <c r="L34" s="705"/>
      <c r="M34" s="705">
        <v>490</v>
      </c>
      <c r="N34" s="705">
        <f t="shared" si="9"/>
        <v>490</v>
      </c>
      <c r="O34" s="705"/>
      <c r="P34" s="705">
        <f t="shared" si="10"/>
        <v>490</v>
      </c>
      <c r="Q34" s="705">
        <v>264</v>
      </c>
      <c r="R34" s="706">
        <f t="shared" si="6"/>
        <v>0.5387755102040817</v>
      </c>
      <c r="S34" s="709"/>
    </row>
    <row r="35" spans="1:19" s="55" customFormat="1" ht="12.75">
      <c r="A35" s="702">
        <v>5</v>
      </c>
      <c r="B35" s="707" t="s">
        <v>72</v>
      </c>
      <c r="C35" s="708"/>
      <c r="D35" s="705"/>
      <c r="E35" s="705">
        <v>1500</v>
      </c>
      <c r="F35" s="705">
        <f>+D35+E35</f>
        <v>1500</v>
      </c>
      <c r="G35" s="705"/>
      <c r="H35" s="705">
        <f>+F35+G35</f>
        <v>1500</v>
      </c>
      <c r="I35" s="705"/>
      <c r="J35" s="706">
        <f>+I35/H35</f>
        <v>0</v>
      </c>
      <c r="K35" s="705">
        <v>500</v>
      </c>
      <c r="L35" s="705">
        <f>+H35+K35</f>
        <v>2000</v>
      </c>
      <c r="M35" s="705"/>
      <c r="N35" s="705">
        <f>+L35+M35</f>
        <v>2000</v>
      </c>
      <c r="O35" s="705"/>
      <c r="P35" s="705">
        <f t="shared" si="10"/>
        <v>2000</v>
      </c>
      <c r="Q35" s="705">
        <f>+O35+P35</f>
        <v>2000</v>
      </c>
      <c r="R35" s="706">
        <f>+Q35/P35</f>
        <v>1</v>
      </c>
      <c r="S35" s="709"/>
    </row>
    <row r="36" spans="1:19" s="55" customFormat="1" ht="12.75" customHeight="1">
      <c r="A36" s="710">
        <v>6</v>
      </c>
      <c r="B36" s="711" t="s">
        <v>75</v>
      </c>
      <c r="C36" s="712"/>
      <c r="D36" s="713"/>
      <c r="E36" s="713"/>
      <c r="F36" s="700"/>
      <c r="G36" s="713"/>
      <c r="H36" s="713"/>
      <c r="I36" s="713"/>
      <c r="J36" s="714"/>
      <c r="K36" s="713"/>
      <c r="L36" s="713"/>
      <c r="M36" s="713"/>
      <c r="N36" s="713"/>
      <c r="O36" s="713">
        <v>500</v>
      </c>
      <c r="P36" s="713">
        <f t="shared" si="10"/>
        <v>500</v>
      </c>
      <c r="Q36" s="713">
        <v>400</v>
      </c>
      <c r="R36" s="714">
        <f>+Q36/P36</f>
        <v>0.8</v>
      </c>
      <c r="S36" s="709"/>
    </row>
    <row r="37" spans="1:19" s="55" customFormat="1" ht="12.75">
      <c r="A37" s="702">
        <v>7</v>
      </c>
      <c r="B37" s="707" t="s">
        <v>68</v>
      </c>
      <c r="C37" s="708"/>
      <c r="D37" s="705"/>
      <c r="E37" s="705"/>
      <c r="F37" s="705"/>
      <c r="G37" s="705"/>
      <c r="H37" s="705">
        <f>+F37+G37</f>
        <v>0</v>
      </c>
      <c r="I37" s="705"/>
      <c r="J37" s="706"/>
      <c r="K37" s="705">
        <v>25</v>
      </c>
      <c r="L37" s="705">
        <f>+H37+K37</f>
        <v>25</v>
      </c>
      <c r="M37" s="705"/>
      <c r="N37" s="705">
        <f>+L37+M37</f>
        <v>25</v>
      </c>
      <c r="O37" s="705"/>
      <c r="P37" s="705">
        <f t="shared" si="10"/>
        <v>25</v>
      </c>
      <c r="Q37" s="705">
        <f>+O37+P37</f>
        <v>25</v>
      </c>
      <c r="R37" s="706">
        <f>+Q37/P37</f>
        <v>1</v>
      </c>
      <c r="S37" s="709"/>
    </row>
    <row r="38" spans="1:19" s="55" customFormat="1" ht="13.5" thickBot="1">
      <c r="A38" s="729">
        <v>8</v>
      </c>
      <c r="B38" s="730" t="s">
        <v>539</v>
      </c>
      <c r="C38" s="731"/>
      <c r="D38" s="732"/>
      <c r="E38" s="732"/>
      <c r="F38" s="732"/>
      <c r="G38" s="732"/>
      <c r="H38" s="732"/>
      <c r="I38" s="732"/>
      <c r="J38" s="733"/>
      <c r="K38" s="732"/>
      <c r="L38" s="732"/>
      <c r="M38" s="732"/>
      <c r="N38" s="732"/>
      <c r="O38" s="732"/>
      <c r="P38" s="732"/>
      <c r="Q38" s="732">
        <v>31</v>
      </c>
      <c r="R38" s="733"/>
      <c r="S38" s="709"/>
    </row>
    <row r="39" spans="1:19" ht="24.75" customHeight="1" thickBot="1">
      <c r="A39" s="715"/>
      <c r="B39" s="716" t="s">
        <v>80</v>
      </c>
      <c r="C39" s="717">
        <f>SUM(C28:C33)</f>
        <v>0</v>
      </c>
      <c r="D39" s="718">
        <f>SUM(D31:D37)</f>
        <v>9958</v>
      </c>
      <c r="E39" s="718">
        <f aca="true" t="shared" si="11" ref="E39:P39">SUM(E31:E37)</f>
        <v>1500</v>
      </c>
      <c r="F39" s="718">
        <f t="shared" si="11"/>
        <v>11458</v>
      </c>
      <c r="G39" s="718">
        <f t="shared" si="11"/>
        <v>0</v>
      </c>
      <c r="H39" s="718">
        <f t="shared" si="11"/>
        <v>11458</v>
      </c>
      <c r="I39" s="718">
        <f t="shared" si="11"/>
        <v>137</v>
      </c>
      <c r="J39" s="718">
        <f t="shared" si="11"/>
        <v>0.43492063492063493</v>
      </c>
      <c r="K39" s="718">
        <f t="shared" si="11"/>
        <v>525</v>
      </c>
      <c r="L39" s="718">
        <f t="shared" si="11"/>
        <v>11983</v>
      </c>
      <c r="M39" s="718">
        <f t="shared" si="11"/>
        <v>-810</v>
      </c>
      <c r="N39" s="718">
        <f t="shared" si="11"/>
        <v>11173</v>
      </c>
      <c r="O39" s="718">
        <f t="shared" si="11"/>
        <v>500</v>
      </c>
      <c r="P39" s="718">
        <f t="shared" si="11"/>
        <v>11673</v>
      </c>
      <c r="Q39" s="718">
        <f>SUM(Q31:Q38)</f>
        <v>10908</v>
      </c>
      <c r="R39" s="719">
        <f t="shared" si="6"/>
        <v>0.9344641480339244</v>
      </c>
      <c r="S39" s="683"/>
    </row>
    <row r="40" spans="1:19" ht="24.75" customHeight="1">
      <c r="A40" s="734"/>
      <c r="B40" s="735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7"/>
      <c r="O40" s="736"/>
      <c r="P40" s="736"/>
      <c r="Q40" s="736"/>
      <c r="R40" s="738"/>
      <c r="S40" s="683"/>
    </row>
    <row r="41" spans="1:19" ht="13.5" thickBot="1">
      <c r="A41" s="445"/>
      <c r="B41" s="721"/>
      <c r="C41" s="721"/>
      <c r="D41" s="721"/>
      <c r="E41" s="721"/>
      <c r="F41" s="721"/>
      <c r="G41" s="721"/>
      <c r="H41" s="721"/>
      <c r="I41" s="721"/>
      <c r="J41" s="722"/>
      <c r="K41" s="721"/>
      <c r="L41" s="721"/>
      <c r="M41" s="721"/>
      <c r="N41" s="723">
        <f>+L41+M41</f>
        <v>0</v>
      </c>
      <c r="O41" s="721"/>
      <c r="P41" s="721"/>
      <c r="Q41" s="721"/>
      <c r="R41" s="722"/>
      <c r="S41" s="683"/>
    </row>
    <row r="42" spans="1:19" ht="24.75" customHeight="1" thickBot="1">
      <c r="A42" s="715"/>
      <c r="B42" s="716" t="s">
        <v>81</v>
      </c>
      <c r="C42" s="717"/>
      <c r="D42" s="718">
        <f>+D28+D39</f>
        <v>21828</v>
      </c>
      <c r="E42" s="718">
        <f aca="true" t="shared" si="12" ref="E42:Q42">+E28+E39</f>
        <v>1754</v>
      </c>
      <c r="F42" s="718">
        <f t="shared" si="12"/>
        <v>23582</v>
      </c>
      <c r="G42" s="718">
        <f t="shared" si="12"/>
        <v>50669</v>
      </c>
      <c r="H42" s="718">
        <f t="shared" si="12"/>
        <v>74251</v>
      </c>
      <c r="I42" s="718">
        <f t="shared" si="12"/>
        <v>8395</v>
      </c>
      <c r="J42" s="718">
        <f t="shared" si="12"/>
        <v>12.292985444127176</v>
      </c>
      <c r="K42" s="718">
        <f t="shared" si="12"/>
        <v>10627</v>
      </c>
      <c r="L42" s="718">
        <f t="shared" si="12"/>
        <v>84878</v>
      </c>
      <c r="M42" s="718">
        <f t="shared" si="12"/>
        <v>-10810</v>
      </c>
      <c r="N42" s="718">
        <f t="shared" si="12"/>
        <v>74068</v>
      </c>
      <c r="O42" s="718">
        <f t="shared" si="12"/>
        <v>3500</v>
      </c>
      <c r="P42" s="718">
        <f t="shared" si="12"/>
        <v>77568</v>
      </c>
      <c r="Q42" s="718">
        <f t="shared" si="12"/>
        <v>75835</v>
      </c>
      <c r="R42" s="719">
        <f t="shared" si="6"/>
        <v>0.9776583127062707</v>
      </c>
      <c r="S42" s="683"/>
    </row>
    <row r="44" ht="12.75">
      <c r="Q44" s="130"/>
    </row>
  </sheetData>
  <sheetProtection/>
  <printOptions horizontalCentered="1"/>
  <pageMargins left="0.4724409448818898" right="0.68" top="1.2598425196850394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&amp;L5.sz.táblázat&amp;C&amp;"Arial,Félkövér"&amp;12Nagykovácsi Nagyközség Önkormányzatának 
2012.évi működési célú pénzeszköz átadási terve&amp;Radatok 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2014-04-03T18:32:15Z</cp:lastPrinted>
  <dcterms:created xsi:type="dcterms:W3CDTF">2008-07-24T13:43:35Z</dcterms:created>
  <dcterms:modified xsi:type="dcterms:W3CDTF">2014-04-03T19:19:06Z</dcterms:modified>
  <cp:category/>
  <cp:version/>
  <cp:contentType/>
  <cp:contentStatus/>
</cp:coreProperties>
</file>