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2760" yWindow="32760" windowWidth="19200" windowHeight="5745" tabRatio="727" firstSheet="14" activeTab="25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 sz. mell" sheetId="359" r:id="rId17"/>
    <sheet name="9.2. sz. mell (2-1)" sheetId="360" r:id="rId18"/>
    <sheet name="9.2. sz. mell (2-2)" sheetId="361" r:id="rId19"/>
    <sheet name="9.2.1. sz. mell" sheetId="362" r:id="rId20"/>
    <sheet name="9.2.2. sz.  mell" sheetId="363" r:id="rId21"/>
    <sheet name="9.2.3. sz. mell" sheetId="364" r:id="rId22"/>
    <sheet name="9.3. sz. mell" sheetId="365" r:id="rId23"/>
    <sheet name="9.3.1. sz. mell" sheetId="366" r:id="rId24"/>
    <sheet name="9.3.2. sz. mell" sheetId="367" r:id="rId25"/>
    <sheet name="9.3.3. sz. mell" sheetId="368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16">'9.2. sz. mell'!$1:$6</definedName>
    <definedName name="_xlnm.Print_Titles" localSheetId="17">'9.2. sz. mell (2-1)'!$1:$6</definedName>
    <definedName name="_xlnm.Print_Titles" localSheetId="18">'9.2. sz. mell (2-2)'!$1:$6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mell'!$2:$6</definedName>
    <definedName name="_xlnm.Print_Area" localSheetId="27">'1. sz tájékoztató t.'!$A$1:$E$156</definedName>
    <definedName name="_xlnm.Print_Area" localSheetId="0">'1.1.sz.mell.'!$A$1:$C$163</definedName>
    <definedName name="_xlnm.Print_Area" localSheetId="1">'1.2.sz.mell.'!$A$1:$C$164</definedName>
    <definedName name="_xlnm.Print_Area" localSheetId="2">'1.3.sz.mell.'!$A$1:$C$160</definedName>
    <definedName name="_xlnm.Print_Area" localSheetId="3">'1.4.sz.mell.'!$A$1:$C$159</definedName>
    <definedName name="_xlnm.Print_Area" localSheetId="30">'4.sz tájékoztató t.'!$A$1:$O$37</definedName>
    <definedName name="_xlnm.Print_Area" localSheetId="33">'7. sz tájékoztató t.'!$A$1:$E$37</definedName>
    <definedName name="_xlnm.Print_Area" localSheetId="10">'7.sz.mell.'!$A$1:$K$22</definedName>
    <definedName name="_xlnm.Print_Area" localSheetId="11">'8. sz. mell. '!$A$1:$G$52</definedName>
  </definedNames>
  <calcPr calcId="125725" fullCalcOnLoad="1"/>
  <fileRecoveryPr autoRecover="0"/>
</workbook>
</file>

<file path=xl/calcChain.xml><?xml version="1.0" encoding="utf-8"?>
<calcChain xmlns="http://schemas.openxmlformats.org/spreadsheetml/2006/main">
  <c r="C100" i="1"/>
  <c r="C105" i="116"/>
  <c r="E28" i="24"/>
  <c r="E33"/>
  <c r="G25"/>
  <c r="F25"/>
  <c r="C44" i="1"/>
  <c r="C40"/>
  <c r="C39" i="119"/>
  <c r="C49" i="116"/>
  <c r="C45"/>
  <c r="C45" i="117"/>
  <c r="C41"/>
  <c r="C76" i="3"/>
  <c r="C43" i="119"/>
  <c r="C43" i="120"/>
  <c r="C39"/>
  <c r="E73" i="87"/>
  <c r="J25" i="24"/>
  <c r="E25"/>
  <c r="K40" i="63"/>
  <c r="K21"/>
  <c r="K22" i="64"/>
  <c r="C121" i="1"/>
  <c r="C119"/>
  <c r="C99"/>
  <c r="C98"/>
  <c r="C63"/>
  <c r="C61"/>
  <c r="C52"/>
  <c r="C149"/>
  <c r="C146"/>
  <c r="C144"/>
  <c r="C137"/>
  <c r="C133"/>
  <c r="C123"/>
  <c r="C118"/>
  <c r="C117"/>
  <c r="C115"/>
  <c r="C114"/>
  <c r="C102"/>
  <c r="C97"/>
  <c r="C101"/>
  <c r="C83"/>
  <c r="C79"/>
  <c r="C76"/>
  <c r="C90"/>
  <c r="C71"/>
  <c r="C67"/>
  <c r="C56"/>
  <c r="C50"/>
  <c r="C49"/>
  <c r="C46"/>
  <c r="C43"/>
  <c r="C41"/>
  <c r="C37"/>
  <c r="C31"/>
  <c r="C30"/>
  <c r="C23"/>
  <c r="C21"/>
  <c r="C16"/>
  <c r="C9"/>
  <c r="C126" i="116"/>
  <c r="C124"/>
  <c r="C104"/>
  <c r="C102" s="1"/>
  <c r="C137" s="1"/>
  <c r="C163" s="1"/>
  <c r="C103"/>
  <c r="C26"/>
  <c r="C54"/>
  <c r="C51"/>
  <c r="C46"/>
  <c r="C154"/>
  <c r="C151"/>
  <c r="C149"/>
  <c r="C142"/>
  <c r="C138"/>
  <c r="C162"/>
  <c r="C128"/>
  <c r="C123"/>
  <c r="C122"/>
  <c r="C120"/>
  <c r="C119"/>
  <c r="C106"/>
  <c r="C42"/>
  <c r="C88"/>
  <c r="C84"/>
  <c r="C81"/>
  <c r="C95"/>
  <c r="C76"/>
  <c r="C72"/>
  <c r="C66"/>
  <c r="C61"/>
  <c r="C55"/>
  <c r="C48"/>
  <c r="C43"/>
  <c r="C36"/>
  <c r="C28"/>
  <c r="C21"/>
  <c r="C14"/>
  <c r="C150" i="117"/>
  <c r="C145"/>
  <c r="C138"/>
  <c r="C158"/>
  <c r="C134"/>
  <c r="C124"/>
  <c r="C119"/>
  <c r="C116"/>
  <c r="C103"/>
  <c r="C98"/>
  <c r="C84"/>
  <c r="C80"/>
  <c r="C77"/>
  <c r="C72"/>
  <c r="C91"/>
  <c r="C68"/>
  <c r="C62"/>
  <c r="C57"/>
  <c r="C51"/>
  <c r="C39"/>
  <c r="C32"/>
  <c r="C31"/>
  <c r="C24"/>
  <c r="C17"/>
  <c r="C10"/>
  <c r="E32" i="24"/>
  <c r="E31"/>
  <c r="E118" i="87"/>
  <c r="E116"/>
  <c r="C121" i="119"/>
  <c r="C119"/>
  <c r="E29" i="73"/>
  <c r="E30"/>
  <c r="E28"/>
  <c r="C11"/>
  <c r="C10"/>
  <c r="C8"/>
  <c r="C7"/>
  <c r="C12" i="61"/>
  <c r="K16" i="63"/>
  <c r="F16"/>
  <c r="C16"/>
  <c r="I39"/>
  <c r="F39"/>
  <c r="C39"/>
  <c r="C38"/>
  <c r="F38"/>
  <c r="I38"/>
  <c r="I18"/>
  <c r="F18"/>
  <c r="C18"/>
  <c r="I9"/>
  <c r="F9"/>
  <c r="F10"/>
  <c r="C9"/>
  <c r="I35"/>
  <c r="F35"/>
  <c r="C35"/>
  <c r="I37"/>
  <c r="F37"/>
  <c r="C37"/>
  <c r="I36"/>
  <c r="H36"/>
  <c r="F36"/>
  <c r="C36"/>
  <c r="I25"/>
  <c r="F25"/>
  <c r="C25"/>
  <c r="H40"/>
  <c r="H41"/>
  <c r="F40"/>
  <c r="C40"/>
  <c r="F21"/>
  <c r="C21"/>
  <c r="K17"/>
  <c r="F17"/>
  <c r="C17"/>
  <c r="K32"/>
  <c r="F32"/>
  <c r="C32"/>
  <c r="H16"/>
  <c r="K33"/>
  <c r="F33"/>
  <c r="C33"/>
  <c r="F34"/>
  <c r="J34"/>
  <c r="C34"/>
  <c r="I30"/>
  <c r="F30"/>
  <c r="C30"/>
  <c r="I31"/>
  <c r="F31"/>
  <c r="C31"/>
  <c r="H17"/>
  <c r="I15"/>
  <c r="F15"/>
  <c r="C15"/>
  <c r="I14"/>
  <c r="H14"/>
  <c r="F14"/>
  <c r="C14"/>
  <c r="I13"/>
  <c r="F13"/>
  <c r="C13"/>
  <c r="C44"/>
  <c r="I28"/>
  <c r="F28"/>
  <c r="C28"/>
  <c r="I29"/>
  <c r="H29"/>
  <c r="F29"/>
  <c r="C29"/>
  <c r="I24"/>
  <c r="F24"/>
  <c r="C24"/>
  <c r="I12"/>
  <c r="H12"/>
  <c r="F12"/>
  <c r="C12"/>
  <c r="I20"/>
  <c r="H20"/>
  <c r="K19"/>
  <c r="K22"/>
  <c r="F20"/>
  <c r="F19"/>
  <c r="C20"/>
  <c r="C19"/>
  <c r="C7" i="64"/>
  <c r="E22"/>
  <c r="G22"/>
  <c r="H10"/>
  <c r="H9"/>
  <c r="I8"/>
  <c r="F8"/>
  <c r="C8"/>
  <c r="I11"/>
  <c r="F11"/>
  <c r="C11"/>
  <c r="I5"/>
  <c r="F5"/>
  <c r="F22"/>
  <c r="C5"/>
  <c r="J22"/>
  <c r="I7"/>
  <c r="F7"/>
  <c r="I6"/>
  <c r="I22"/>
  <c r="F6"/>
  <c r="C6"/>
  <c r="C22"/>
  <c r="C149" i="3"/>
  <c r="C144"/>
  <c r="C137"/>
  <c r="C133"/>
  <c r="C123"/>
  <c r="C118"/>
  <c r="C114"/>
  <c r="C101"/>
  <c r="C96"/>
  <c r="C82"/>
  <c r="C78"/>
  <c r="C75"/>
  <c r="C89"/>
  <c r="C90"/>
  <c r="C70"/>
  <c r="C66"/>
  <c r="C60"/>
  <c r="C55"/>
  <c r="C49"/>
  <c r="C48"/>
  <c r="C45"/>
  <c r="C43"/>
  <c r="C42"/>
  <c r="C40"/>
  <c r="C39"/>
  <c r="C33"/>
  <c r="C31"/>
  <c r="C30"/>
  <c r="C29"/>
  <c r="C22"/>
  <c r="C20"/>
  <c r="C15"/>
  <c r="C8"/>
  <c r="C98" i="119"/>
  <c r="C97"/>
  <c r="C146"/>
  <c r="C144"/>
  <c r="C117"/>
  <c r="C113"/>
  <c r="C100"/>
  <c r="C48"/>
  <c r="C45"/>
  <c r="C42"/>
  <c r="C37"/>
  <c r="C52" i="359"/>
  <c r="C46"/>
  <c r="C58"/>
  <c r="C38"/>
  <c r="C31"/>
  <c r="C26"/>
  <c r="C20"/>
  <c r="C8"/>
  <c r="C37"/>
  <c r="C42"/>
  <c r="C51" i="365"/>
  <c r="C45"/>
  <c r="C57"/>
  <c r="C37"/>
  <c r="C30"/>
  <c r="C26"/>
  <c r="C20"/>
  <c r="C8"/>
  <c r="C36"/>
  <c r="C41"/>
  <c r="E17" i="87"/>
  <c r="E30"/>
  <c r="E28"/>
  <c r="E45"/>
  <c r="E37"/>
  <c r="E42"/>
  <c r="E40"/>
  <c r="E34"/>
  <c r="E39"/>
  <c r="E36"/>
  <c r="N32" i="24"/>
  <c r="M32"/>
  <c r="L32"/>
  <c r="K32"/>
  <c r="J32"/>
  <c r="I32"/>
  <c r="H32"/>
  <c r="G32"/>
  <c r="D32"/>
  <c r="C32"/>
  <c r="O32"/>
  <c r="F32"/>
  <c r="H31"/>
  <c r="N31"/>
  <c r="M31"/>
  <c r="L31"/>
  <c r="K31"/>
  <c r="J31"/>
  <c r="I31"/>
  <c r="G31"/>
  <c r="F31"/>
  <c r="D31"/>
  <c r="C31"/>
  <c r="C25"/>
  <c r="N25"/>
  <c r="M25"/>
  <c r="L25"/>
  <c r="K25"/>
  <c r="I25"/>
  <c r="H25"/>
  <c r="D25"/>
  <c r="C34"/>
  <c r="D34"/>
  <c r="E34"/>
  <c r="F34"/>
  <c r="G34"/>
  <c r="H34"/>
  <c r="I34"/>
  <c r="J34"/>
  <c r="K34"/>
  <c r="L34"/>
  <c r="M34"/>
  <c r="N34"/>
  <c r="H27"/>
  <c r="C27"/>
  <c r="E29"/>
  <c r="J29"/>
  <c r="C28"/>
  <c r="N28"/>
  <c r="M28"/>
  <c r="L28"/>
  <c r="K28"/>
  <c r="G28"/>
  <c r="F28"/>
  <c r="J28"/>
  <c r="I28"/>
  <c r="H28"/>
  <c r="O28"/>
  <c r="D28"/>
  <c r="I26"/>
  <c r="H26"/>
  <c r="G26"/>
  <c r="F26"/>
  <c r="E26"/>
  <c r="D26"/>
  <c r="C26"/>
  <c r="N26"/>
  <c r="M26"/>
  <c r="L26"/>
  <c r="K26"/>
  <c r="J26"/>
  <c r="C24"/>
  <c r="N24"/>
  <c r="L24"/>
  <c r="K24"/>
  <c r="H24"/>
  <c r="G24"/>
  <c r="F24"/>
  <c r="O24"/>
  <c r="E24"/>
  <c r="M24"/>
  <c r="J24"/>
  <c r="I24"/>
  <c r="D24"/>
  <c r="C23"/>
  <c r="N23"/>
  <c r="L23"/>
  <c r="L35"/>
  <c r="K23"/>
  <c r="H23"/>
  <c r="G23"/>
  <c r="F23"/>
  <c r="M23"/>
  <c r="D23"/>
  <c r="E23"/>
  <c r="I23"/>
  <c r="I35"/>
  <c r="J23"/>
  <c r="K15"/>
  <c r="H15"/>
  <c r="D15"/>
  <c r="O15"/>
  <c r="E15"/>
  <c r="F15"/>
  <c r="G15"/>
  <c r="I15"/>
  <c r="J15"/>
  <c r="L15"/>
  <c r="C15"/>
  <c r="H14"/>
  <c r="G14"/>
  <c r="J14"/>
  <c r="F14"/>
  <c r="M14"/>
  <c r="L14"/>
  <c r="K14"/>
  <c r="I14"/>
  <c r="E14"/>
  <c r="D14"/>
  <c r="C14"/>
  <c r="N14"/>
  <c r="N13"/>
  <c r="M13"/>
  <c r="L13"/>
  <c r="K13"/>
  <c r="J13"/>
  <c r="I13"/>
  <c r="H13"/>
  <c r="G13"/>
  <c r="F13"/>
  <c r="E13"/>
  <c r="D13"/>
  <c r="C13"/>
  <c r="O13"/>
  <c r="K12"/>
  <c r="C11"/>
  <c r="D11"/>
  <c r="J11"/>
  <c r="K11"/>
  <c r="N11"/>
  <c r="N19"/>
  <c r="M11"/>
  <c r="L11"/>
  <c r="I11"/>
  <c r="H11"/>
  <c r="O11"/>
  <c r="G11"/>
  <c r="F11"/>
  <c r="E11"/>
  <c r="E19"/>
  <c r="N10"/>
  <c r="M10"/>
  <c r="M19"/>
  <c r="L10"/>
  <c r="L19"/>
  <c r="K10"/>
  <c r="K19"/>
  <c r="J10"/>
  <c r="J19"/>
  <c r="I10"/>
  <c r="H10"/>
  <c r="G10"/>
  <c r="G19"/>
  <c r="F10"/>
  <c r="F19"/>
  <c r="E10"/>
  <c r="D10"/>
  <c r="C10"/>
  <c r="B30" i="2"/>
  <c r="B21"/>
  <c r="E29" i="128"/>
  <c r="E33"/>
  <c r="E35"/>
  <c r="D29"/>
  <c r="D33"/>
  <c r="D35"/>
  <c r="E9"/>
  <c r="E8"/>
  <c r="E20"/>
  <c r="E22"/>
  <c r="D9"/>
  <c r="D8"/>
  <c r="D20"/>
  <c r="D22"/>
  <c r="C25" i="73"/>
  <c r="D111" i="87"/>
  <c r="E111"/>
  <c r="C111"/>
  <c r="C60" i="119"/>
  <c r="C30"/>
  <c r="C29"/>
  <c r="H37" i="63"/>
  <c r="C9" i="128"/>
  <c r="C8"/>
  <c r="C20"/>
  <c r="C22"/>
  <c r="C26"/>
  <c r="D26"/>
  <c r="E26"/>
  <c r="C29"/>
  <c r="C33"/>
  <c r="C35"/>
  <c r="D22" i="70"/>
  <c r="B9" i="2"/>
  <c r="B7"/>
  <c r="B18"/>
  <c r="B26"/>
  <c r="B34"/>
  <c r="B36"/>
  <c r="O10" i="24"/>
  <c r="O12"/>
  <c r="I19"/>
  <c r="I37"/>
  <c r="O14"/>
  <c r="O16"/>
  <c r="O17"/>
  <c r="O18"/>
  <c r="H19"/>
  <c r="C35"/>
  <c r="G35"/>
  <c r="K35"/>
  <c r="M35"/>
  <c r="O25"/>
  <c r="O26"/>
  <c r="O27"/>
  <c r="O29"/>
  <c r="O30"/>
  <c r="O31"/>
  <c r="O33"/>
  <c r="O34"/>
  <c r="D35"/>
  <c r="F35"/>
  <c r="H35"/>
  <c r="H37"/>
  <c r="J35"/>
  <c r="J37"/>
  <c r="C30" i="88"/>
  <c r="D30"/>
  <c r="D6" i="66"/>
  <c r="E6"/>
  <c r="F6"/>
  <c r="G6"/>
  <c r="H6"/>
  <c r="I7"/>
  <c r="I8"/>
  <c r="D9"/>
  <c r="E9"/>
  <c r="F9"/>
  <c r="G9"/>
  <c r="H9"/>
  <c r="I10"/>
  <c r="I11"/>
  <c r="D12"/>
  <c r="E12"/>
  <c r="F12"/>
  <c r="G12"/>
  <c r="H12"/>
  <c r="I13"/>
  <c r="D14"/>
  <c r="E14"/>
  <c r="E18"/>
  <c r="F14"/>
  <c r="G14"/>
  <c r="H14"/>
  <c r="I14"/>
  <c r="I15"/>
  <c r="D16"/>
  <c r="E16"/>
  <c r="F16"/>
  <c r="I16"/>
  <c r="G16"/>
  <c r="H16"/>
  <c r="I17"/>
  <c r="F18"/>
  <c r="G18"/>
  <c r="C5" i="87"/>
  <c r="D5"/>
  <c r="E5"/>
  <c r="C12"/>
  <c r="D12"/>
  <c r="E12"/>
  <c r="C19"/>
  <c r="D19"/>
  <c r="E19"/>
  <c r="C27"/>
  <c r="C26"/>
  <c r="D27"/>
  <c r="D26"/>
  <c r="E27"/>
  <c r="E26"/>
  <c r="C34"/>
  <c r="D34"/>
  <c r="C46"/>
  <c r="D46"/>
  <c r="E46"/>
  <c r="C52"/>
  <c r="D52"/>
  <c r="E52"/>
  <c r="C57"/>
  <c r="D57"/>
  <c r="E57"/>
  <c r="C63"/>
  <c r="D63"/>
  <c r="E63"/>
  <c r="C67"/>
  <c r="D67"/>
  <c r="E67"/>
  <c r="C72"/>
  <c r="D72"/>
  <c r="E72"/>
  <c r="C75"/>
  <c r="D75"/>
  <c r="E75"/>
  <c r="C79"/>
  <c r="D79"/>
  <c r="E79"/>
  <c r="C91"/>
  <c r="D91"/>
  <c r="C98"/>
  <c r="C93"/>
  <c r="D98"/>
  <c r="D93"/>
  <c r="E98"/>
  <c r="E93"/>
  <c r="C120"/>
  <c r="C115"/>
  <c r="D120"/>
  <c r="D115"/>
  <c r="E120"/>
  <c r="E115"/>
  <c r="C130"/>
  <c r="C154"/>
  <c r="D130"/>
  <c r="D154"/>
  <c r="E130"/>
  <c r="C134"/>
  <c r="D134"/>
  <c r="E134"/>
  <c r="E154"/>
  <c r="C141"/>
  <c r="D141"/>
  <c r="E141"/>
  <c r="C146"/>
  <c r="D146"/>
  <c r="E146"/>
  <c r="G10" i="89"/>
  <c r="G11"/>
  <c r="G12"/>
  <c r="G13"/>
  <c r="G14"/>
  <c r="G15"/>
  <c r="C16"/>
  <c r="D16"/>
  <c r="E16"/>
  <c r="F16"/>
  <c r="G16"/>
  <c r="C8" i="368"/>
  <c r="C20"/>
  <c r="C26"/>
  <c r="C30"/>
  <c r="C37"/>
  <c r="C45"/>
  <c r="C51"/>
  <c r="C57"/>
  <c r="C8" i="367"/>
  <c r="C20"/>
  <c r="C26"/>
  <c r="C30"/>
  <c r="C37"/>
  <c r="C45"/>
  <c r="C57"/>
  <c r="C51"/>
  <c r="C8" i="366"/>
  <c r="C20"/>
  <c r="C26"/>
  <c r="C30"/>
  <c r="C37"/>
  <c r="C45"/>
  <c r="C51"/>
  <c r="C8" i="364"/>
  <c r="C20"/>
  <c r="C26"/>
  <c r="C31"/>
  <c r="C38"/>
  <c r="C46"/>
  <c r="C58"/>
  <c r="C52"/>
  <c r="C8" i="363"/>
  <c r="C20"/>
  <c r="C26"/>
  <c r="C31"/>
  <c r="C37"/>
  <c r="C42"/>
  <c r="C38"/>
  <c r="C46"/>
  <c r="C52"/>
  <c r="C58"/>
  <c r="C8" i="362"/>
  <c r="C20"/>
  <c r="C37"/>
  <c r="C42"/>
  <c r="C26"/>
  <c r="C31"/>
  <c r="C38"/>
  <c r="C46"/>
  <c r="C58"/>
  <c r="C52"/>
  <c r="C8" i="361"/>
  <c r="C20"/>
  <c r="C26"/>
  <c r="C31"/>
  <c r="C37"/>
  <c r="C42"/>
  <c r="C38"/>
  <c r="C46"/>
  <c r="C52"/>
  <c r="C58"/>
  <c r="C8" i="360"/>
  <c r="C20"/>
  <c r="C26"/>
  <c r="C31"/>
  <c r="C38"/>
  <c r="C46"/>
  <c r="C58"/>
  <c r="C52"/>
  <c r="C8" i="121"/>
  <c r="C15"/>
  <c r="C22"/>
  <c r="C29"/>
  <c r="C30"/>
  <c r="C37"/>
  <c r="C49"/>
  <c r="C55"/>
  <c r="C60"/>
  <c r="C66"/>
  <c r="C70"/>
  <c r="C75"/>
  <c r="C78"/>
  <c r="C82"/>
  <c r="C93"/>
  <c r="C114"/>
  <c r="C128"/>
  <c r="C155"/>
  <c r="C129"/>
  <c r="C133"/>
  <c r="C154"/>
  <c r="C140"/>
  <c r="C146"/>
  <c r="C8" i="120"/>
  <c r="C15"/>
  <c r="C22"/>
  <c r="C30"/>
  <c r="C29"/>
  <c r="C37"/>
  <c r="C65"/>
  <c r="C90"/>
  <c r="C49"/>
  <c r="C55"/>
  <c r="C60"/>
  <c r="C66"/>
  <c r="C70"/>
  <c r="C75"/>
  <c r="C78"/>
  <c r="C82"/>
  <c r="C101"/>
  <c r="C96"/>
  <c r="C131"/>
  <c r="C157"/>
  <c r="C114"/>
  <c r="C122"/>
  <c r="C117"/>
  <c r="C132"/>
  <c r="C136"/>
  <c r="C143"/>
  <c r="C148"/>
  <c r="C8" i="119"/>
  <c r="C15"/>
  <c r="C22"/>
  <c r="C49"/>
  <c r="C55"/>
  <c r="C66"/>
  <c r="C70"/>
  <c r="C75"/>
  <c r="C89"/>
  <c r="C78"/>
  <c r="C82"/>
  <c r="C101"/>
  <c r="C96"/>
  <c r="C114"/>
  <c r="C123"/>
  <c r="C118"/>
  <c r="C132" s="1"/>
  <c r="C158" s="1"/>
  <c r="C133"/>
  <c r="C137"/>
  <c r="C149"/>
  <c r="E5" i="71"/>
  <c r="E6"/>
  <c r="E7"/>
  <c r="E8"/>
  <c r="E9"/>
  <c r="E10"/>
  <c r="E12"/>
  <c r="E11"/>
  <c r="B12"/>
  <c r="C12"/>
  <c r="D12"/>
  <c r="B14"/>
  <c r="C14"/>
  <c r="D14"/>
  <c r="D27"/>
  <c r="D37"/>
  <c r="E15"/>
  <c r="E16"/>
  <c r="E17"/>
  <c r="E18"/>
  <c r="E19"/>
  <c r="E20"/>
  <c r="E21"/>
  <c r="B22"/>
  <c r="C22"/>
  <c r="D22"/>
  <c r="B27"/>
  <c r="B37"/>
  <c r="C27"/>
  <c r="C37"/>
  <c r="E28"/>
  <c r="E29"/>
  <c r="E30"/>
  <c r="E31"/>
  <c r="E32"/>
  <c r="E33"/>
  <c r="E34"/>
  <c r="B35"/>
  <c r="C35"/>
  <c r="D35"/>
  <c r="E38"/>
  <c r="E39"/>
  <c r="E40"/>
  <c r="E41"/>
  <c r="E42"/>
  <c r="E43"/>
  <c r="E44"/>
  <c r="B45"/>
  <c r="C45"/>
  <c r="D45"/>
  <c r="D52"/>
  <c r="H5" i="64"/>
  <c r="H6"/>
  <c r="H8"/>
  <c r="H11"/>
  <c r="H9" i="63"/>
  <c r="H10"/>
  <c r="C10"/>
  <c r="C50"/>
  <c r="I10"/>
  <c r="J10"/>
  <c r="K10"/>
  <c r="H13"/>
  <c r="H15"/>
  <c r="H18"/>
  <c r="H21"/>
  <c r="H22"/>
  <c r="J22"/>
  <c r="H24"/>
  <c r="H25"/>
  <c r="C26"/>
  <c r="D26"/>
  <c r="E26"/>
  <c r="E50"/>
  <c r="I26"/>
  <c r="J26"/>
  <c r="K26"/>
  <c r="J28"/>
  <c r="H28"/>
  <c r="H30"/>
  <c r="H31"/>
  <c r="H32"/>
  <c r="H33"/>
  <c r="H35"/>
  <c r="H38"/>
  <c r="H39"/>
  <c r="C41"/>
  <c r="G41"/>
  <c r="K41"/>
  <c r="H43"/>
  <c r="H44"/>
  <c r="E44"/>
  <c r="F44"/>
  <c r="G44"/>
  <c r="I44"/>
  <c r="J44"/>
  <c r="K44"/>
  <c r="C8" i="78"/>
  <c r="C11" i="77"/>
  <c r="F6" i="62"/>
  <c r="F7"/>
  <c r="F8"/>
  <c r="F11"/>
  <c r="F9"/>
  <c r="F10"/>
  <c r="C11"/>
  <c r="D11"/>
  <c r="E11"/>
  <c r="E18" i="61"/>
  <c r="E32"/>
  <c r="C20"/>
  <c r="C19"/>
  <c r="C31"/>
  <c r="C32"/>
  <c r="C18"/>
  <c r="C25"/>
  <c r="E31"/>
  <c r="E19" i="73"/>
  <c r="E31"/>
  <c r="C21"/>
  <c r="C20"/>
  <c r="C30"/>
  <c r="C31"/>
  <c r="C19"/>
  <c r="C9" i="118"/>
  <c r="C16"/>
  <c r="C23"/>
  <c r="C66"/>
  <c r="C31"/>
  <c r="C30"/>
  <c r="C38"/>
  <c r="C50"/>
  <c r="C56"/>
  <c r="C61"/>
  <c r="C67"/>
  <c r="C71"/>
  <c r="C76"/>
  <c r="C79"/>
  <c r="C83"/>
  <c r="C97"/>
  <c r="C118"/>
  <c r="C132"/>
  <c r="C133"/>
  <c r="C137"/>
  <c r="C144"/>
  <c r="C149"/>
  <c r="N35" i="24"/>
  <c r="N37"/>
  <c r="C36" i="368"/>
  <c r="C41"/>
  <c r="C36" i="366"/>
  <c r="C41"/>
  <c r="C86" i="87"/>
  <c r="D86"/>
  <c r="C19" i="24"/>
  <c r="C37"/>
  <c r="C22" i="63"/>
  <c r="B38" i="2"/>
  <c r="E62" i="87"/>
  <c r="L37" i="24"/>
  <c r="F37"/>
  <c r="O23"/>
  <c r="E35"/>
  <c r="E37"/>
  <c r="I41" i="63"/>
  <c r="I22"/>
  <c r="I50"/>
  <c r="F26"/>
  <c r="F50"/>
  <c r="F41"/>
  <c r="H34"/>
  <c r="J41"/>
  <c r="J50"/>
  <c r="F22"/>
  <c r="G50"/>
  <c r="K50"/>
  <c r="H19"/>
  <c r="H7" i="64"/>
  <c r="H22"/>
  <c r="C157" i="3"/>
  <c r="C37"/>
  <c r="C65" i="119"/>
  <c r="C157" i="1"/>
  <c r="C35" i="116"/>
  <c r="C107"/>
  <c r="C71"/>
  <c r="C129" i="87"/>
  <c r="C156"/>
  <c r="D129"/>
  <c r="D156"/>
  <c r="D62"/>
  <c r="D88"/>
  <c r="C90" i="118"/>
  <c r="C91"/>
  <c r="E45" i="71"/>
  <c r="C37" i="360"/>
  <c r="C42"/>
  <c r="C37" i="364"/>
  <c r="C42"/>
  <c r="C36" i="367"/>
  <c r="C41"/>
  <c r="I9" i="66"/>
  <c r="C157" i="119"/>
  <c r="E86" i="87"/>
  <c r="E88"/>
  <c r="I12" i="66"/>
  <c r="C89" i="121"/>
  <c r="C65"/>
  <c r="C90"/>
  <c r="M37" i="24"/>
  <c r="C157" i="118"/>
  <c r="C158"/>
  <c r="H26" i="63"/>
  <c r="E35" i="71"/>
  <c r="E22"/>
  <c r="C156" i="120"/>
  <c r="C89"/>
  <c r="C57" i="366"/>
  <c r="C62" i="87"/>
  <c r="C88"/>
  <c r="H18" i="66"/>
  <c r="I6"/>
  <c r="I18"/>
  <c r="D18"/>
  <c r="G37" i="24"/>
  <c r="K37"/>
  <c r="C65" i="3"/>
  <c r="C38" i="1"/>
  <c r="C66" s="1"/>
  <c r="D19" i="24"/>
  <c r="D37"/>
  <c r="H50" i="63"/>
  <c r="C96" i="116"/>
  <c r="C133" i="117"/>
  <c r="C159"/>
  <c r="C67"/>
  <c r="C92"/>
  <c r="C90" i="119"/>
  <c r="O19" i="24"/>
  <c r="C163" i="1"/>
  <c r="C132"/>
  <c r="C158"/>
  <c r="C132" i="3"/>
  <c r="C158"/>
  <c r="E129" i="87"/>
  <c r="E156"/>
  <c r="E158"/>
  <c r="O35" i="24"/>
  <c r="O37"/>
  <c r="C162" i="1" l="1"/>
  <c r="C91"/>
</calcChain>
</file>

<file path=xl/comments1.xml><?xml version="1.0" encoding="utf-8"?>
<comments xmlns="http://schemas.openxmlformats.org/spreadsheetml/2006/main">
  <authors>
    <author>penzugy3</author>
  </authors>
  <commentList>
    <comment ref="I16" authorId="0">
      <text>
        <r>
          <rPr>
            <b/>
            <sz val="9"/>
            <color indexed="81"/>
            <rFont val="Tahoma"/>
            <family val="2"/>
            <charset val="238"/>
          </rPr>
          <t>penzugy3:</t>
        </r>
        <r>
          <rPr>
            <sz val="9"/>
            <color indexed="81"/>
            <rFont val="Tahoma"/>
            <family val="2"/>
            <charset val="238"/>
          </rPr>
          <t xml:space="preserve">
bruttó összeg eltérés
</t>
        </r>
      </text>
    </comment>
  </commentList>
</comments>
</file>

<file path=xl/sharedStrings.xml><?xml version="1.0" encoding="utf-8"?>
<sst xmlns="http://schemas.openxmlformats.org/spreadsheetml/2006/main" count="4736" uniqueCount="732">
  <si>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</si>
  <si>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</si>
  <si>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</si>
  <si>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</si>
  <si>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</si>
  <si>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</si>
  <si>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</si>
  <si>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</si>
  <si>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</si>
  <si>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</si>
  <si>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</si>
  <si>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</si>
  <si>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</si>
  <si>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</si>
  <si>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</si>
  <si>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</si>
  <si>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</si>
  <si>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</si>
  <si>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</si>
  <si>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</si>
  <si>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</si>
  <si>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</si>
  <si>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</si>
  <si>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</si>
  <si>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</si>
  <si>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</si>
  <si>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</si>
  <si>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</si>
  <si>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</si>
  <si>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</si>
  <si>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</si>
  <si>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</si>
  <si>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</si>
  <si>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</si>
  <si>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</si>
  <si>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</si>
  <si>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</si>
  <si>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</si>
  <si>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</si>
  <si>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</si>
  <si>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</si>
  <si>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</si>
  <si>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</si>
  <si>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</si>
  <si>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</si>
  <si>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</si>
  <si>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</si>
  <si>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</si>
  <si>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</si>
  <si>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</si>
  <si>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</si>
  <si>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</si>
  <si>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</si>
  <si>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</si>
  <si>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</si>
  <si>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</si>
  <si>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</si>
  <si>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</si>
  <si>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</si>
  <si>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</si>
  <si>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</si>
  <si>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</si>
  <si>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</si>
  <si>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</si>
  <si>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</si>
  <si>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</si>
  <si>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</si>
  <si>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</si>
  <si>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</si>
  <si>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</si>
  <si>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</si>
  <si>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</si>
  <si>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</si>
  <si>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</si>
  <si>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</si>
  <si>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</si>
  <si>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</si>
  <si>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</si>
  <si>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</si>
  <si>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</si>
  <si>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</si>
  <si>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</si>
  <si>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</si>
  <si>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</si>
  <si>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</si>
  <si>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</si>
  <si>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</si>
  <si>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</si>
  <si>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</si>
  <si>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</si>
  <si>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</si>
  <si>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</si>
  <si>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</si>
  <si>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</si>
  <si>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</si>
  <si>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</si>
  <si>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</si>
  <si>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</si>
  <si>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</si>
  <si>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</si>
  <si>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</si>
  <si>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</si>
  <si>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</si>
  <si>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</si>
  <si>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</si>
  <si>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</si>
  <si>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</si>
  <si>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</si>
  <si>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</si>
  <si>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</si>
  <si>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</si>
  <si>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</si>
  <si>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</si>
  <si>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</si>
  <si>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</si>
  <si>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</si>
  <si>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</si>
  <si>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</si>
  <si>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</si>
  <si>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</si>
  <si>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</si>
  <si>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</si>
  <si>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</si>
  <si>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</si>
  <si>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</si>
  <si>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</si>
  <si>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</si>
  <si>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</si>
  <si>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</si>
  <si>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</si>
  <si>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</si>
  <si>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</si>
  <si>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</si>
  <si>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</si>
  <si>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</si>
  <si>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</si>
  <si>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</si>
  <si>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</si>
  <si>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</si>
  <si>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</si>
  <si>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</si>
  <si>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</si>
  <si>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</si>
  <si>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</si>
  <si>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</si>
  <si>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</si>
  <si>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</si>
  <si>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</si>
  <si>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</si>
  <si>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</si>
  <si>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</si>
  <si>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</si>
  <si>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</si>
  <si>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</si>
  <si>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</si>
  <si>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</si>
  <si>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</si>
  <si>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</si>
  <si>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</si>
  <si>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</si>
  <si>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</si>
  <si>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</si>
  <si>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</si>
  <si>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</si>
  <si>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</si>
  <si>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</si>
  <si>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</si>
  <si>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</si>
  <si>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</si>
  <si>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</si>
  <si>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</si>
  <si>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</si>
  <si>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</si>
  <si>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</si>
  <si>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</si>
  <si>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</si>
  <si>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</si>
  <si>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</si>
  <si>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</si>
  <si>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</si>
  <si>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</si>
  <si>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</si>
  <si>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</si>
  <si>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</si>
  <si>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</si>
  <si>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</si>
  <si>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</si>
  <si>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</si>
  <si>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</si>
  <si>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</si>
  <si>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</si>
  <si>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</si>
  <si>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</si>
  <si>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</si>
  <si>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</si>
  <si>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</si>
  <si>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</si>
  <si>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</si>
  <si>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</si>
  <si>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</si>
  <si>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</si>
  <si>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</si>
  <si>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</si>
  <si>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</si>
  <si>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</si>
  <si>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</si>
  <si>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</si>
  <si>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</si>
  <si>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</si>
  <si>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</si>
  <si>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</si>
  <si>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</si>
  <si>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</si>
  <si>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</si>
  <si>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</si>
  <si>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</si>
  <si>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</si>
  <si>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</si>
  <si>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</si>
  <si>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</si>
  <si>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</si>
  <si>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</si>
  <si>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</si>
  <si>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</si>
  <si>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</si>
  <si>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</si>
  <si>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</si>
  <si>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</si>
  <si>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</si>
  <si>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</si>
  <si>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</si>
  <si>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</si>
  <si>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</si>
  <si>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</si>
  <si>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</si>
  <si>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</si>
  <si>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</si>
  <si>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</si>
  <si>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</si>
  <si>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</si>
  <si>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</si>
  <si>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</si>
  <si>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</si>
  <si>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</si>
  <si>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</si>
  <si>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</si>
  <si>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</si>
  <si>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</si>
  <si>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</si>
  <si>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</si>
  <si>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</si>
  <si>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</si>
  <si>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</si>
  <si>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</si>
  <si>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</si>
  <si>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</si>
  <si>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</si>
  <si>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</si>
  <si>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</si>
  <si>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</si>
  <si>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</si>
  <si>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</si>
  <si>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</si>
  <si>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</si>
  <si>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</si>
  <si>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</si>
  <si>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</si>
  <si>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</si>
  <si>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</si>
  <si>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</si>
  <si>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</si>
  <si>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</si>
  <si>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</si>
  <si>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</si>
  <si>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</si>
  <si>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</si>
  <si>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</si>
  <si>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</si>
  <si>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</si>
  <si>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</si>
  <si>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</si>
  <si>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</si>
  <si>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</si>
  <si>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</si>
  <si>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</si>
  <si>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</si>
  <si>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</si>
  <si>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</si>
  <si>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</si>
  <si>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</si>
  <si>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</si>
  <si>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</si>
  <si>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</si>
  <si>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</si>
  <si>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</si>
  <si>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</si>
  <si>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</si>
  <si>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</si>
  <si>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</si>
  <si>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</si>
  <si>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</si>
  <si>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</si>
  <si>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</si>
  <si>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</si>
  <si>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</si>
  <si>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</si>
  <si>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</si>
  <si>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</si>
  <si>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</si>
  <si>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</si>
  <si>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</si>
  <si>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</si>
  <si>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</si>
  <si>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</si>
  <si>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</si>
  <si>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</si>
  <si>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</si>
  <si>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</si>
  <si>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</si>
  <si>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</si>
  <si>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</si>
  <si>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</si>
  <si>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</si>
  <si>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</si>
  <si>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</si>
  <si>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</si>
  <si>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</si>
  <si>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</si>
  <si>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</si>
  <si>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</si>
  <si>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</si>
  <si>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</si>
  <si>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</si>
  <si>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</si>
  <si>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</si>
  <si>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</si>
  <si>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</si>
  <si>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</si>
  <si>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</si>
  <si>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</si>
  <si>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</si>
  <si>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</si>
  <si>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</si>
  <si>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</si>
  <si>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</si>
  <si>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</si>
  <si>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</si>
  <si>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</si>
  <si>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</si>
  <si>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</si>
  <si>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</si>
  <si>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</si>
  <si>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</si>
  <si>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</si>
  <si>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</si>
  <si>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</si>
  <si>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</si>
  <si>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</si>
  <si>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</si>
  <si>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</si>
  <si>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</si>
  <si>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</si>
  <si>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</si>
  <si>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</si>
  <si>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</si>
  <si>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</si>
  <si>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</si>
  <si>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</si>
  <si>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</si>
  <si>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</si>
  <si>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</si>
  <si>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</si>
  <si>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</si>
  <si>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</si>
  <si>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</si>
  <si>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</si>
  <si>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</si>
  <si>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</si>
  <si>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</si>
  <si>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</si>
  <si>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</si>
  <si>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</si>
  <si>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</si>
  <si>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</si>
  <si>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</si>
  <si>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</si>
  <si>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</si>
  <si>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</si>
  <si>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</si>
  <si>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</si>
  <si>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</si>
  <si>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</si>
  <si>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</si>
  <si>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</si>
  <si>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</si>
  <si>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</si>
  <si>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</si>
  <si>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</si>
  <si>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</si>
  <si>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</si>
  <si>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</si>
  <si>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</si>
  <si>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</si>
  <si>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</si>
  <si>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</si>
  <si>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</si>
  <si>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</si>
  <si>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</si>
  <si>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</si>
  <si>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</si>
  <si>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</si>
  <si>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</si>
  <si>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</si>
  <si>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</si>
  <si>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</si>
  <si>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</si>
  <si>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</si>
  <si>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</si>
  <si>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</si>
  <si>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</si>
  <si>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</si>
  <si>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</si>
  <si>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</si>
  <si>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</si>
  <si>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</si>
  <si>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</si>
  <si>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</si>
  <si>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</si>
  <si>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</si>
  <si>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</si>
  <si>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</si>
  <si>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</si>
  <si>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</si>
  <si>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</si>
  <si>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</si>
  <si>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</si>
  <si>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</si>
  <si>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</si>
  <si>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</si>
  <si>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</si>
  <si>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</si>
  <si>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</si>
  <si>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</si>
  <si>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</si>
  <si>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</si>
  <si>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</si>
  <si>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</si>
  <si>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</si>
  <si>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</si>
  <si>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</si>
  <si>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</si>
  <si>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</si>
  <si>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</si>
  <si>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</si>
  <si>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</si>
  <si>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</si>
  <si>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</si>
  <si>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</si>
  <si>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</si>
  <si>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</si>
  <si>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</si>
  <si>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</si>
  <si>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</si>
  <si>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</si>
  <si>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</si>
  <si>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</si>
  <si>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</si>
  <si>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</si>
  <si>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</si>
  <si>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</si>
  <si>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</si>
  <si>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</si>
  <si>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</si>
  <si>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</si>
  <si>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</si>
  <si>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</si>
  <si>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</si>
  <si>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</si>
  <si>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</si>
  <si>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</si>
  <si>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</si>
  <si>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</si>
  <si>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</si>
  <si>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</si>
  <si>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</si>
  <si>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</si>
  <si>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</si>
  <si>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</si>
  <si>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</si>
  <si>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</si>
  <si>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</si>
  <si>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</si>
  <si>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</si>
  <si>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</si>
  <si>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</si>
  <si>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</si>
  <si>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</si>
  <si>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</si>
  <si>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</si>
  <si>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</si>
  <si>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</si>
  <si>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</si>
  <si>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</si>
  <si>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</si>
  <si>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</si>
  <si>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</si>
  <si>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</si>
  <si>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</si>
  <si>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</si>
  <si>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</si>
  <si>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</si>
  <si>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</si>
  <si>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</si>
  <si>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</si>
  <si>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</si>
  <si>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</si>
  <si>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</si>
  <si>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</si>
  <si>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</si>
  <si>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</si>
  <si>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</si>
  <si>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</si>
  <si>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</si>
  <si>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</si>
  <si>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</si>
  <si>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</si>
  <si>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</si>
  <si>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</si>
  <si>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</si>
  <si>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</si>
  <si>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</si>
  <si>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</si>
  <si>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</si>
  <si>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</si>
  <si>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</si>
  <si>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</si>
  <si>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</si>
  <si>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</si>
  <si>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</si>
  <si>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</si>
  <si>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</si>
  <si>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</si>
  <si>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</si>
  <si>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</si>
  <si>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</si>
  <si>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</si>
  <si>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</si>
  <si>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</si>
  <si>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</si>
  <si>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</si>
  <si>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</si>
  <si>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</si>
  <si>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</si>
  <si>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11749039-1543436</t>
  </si>
  <si>
    <t>Tartalék</t>
  </si>
  <si>
    <t>Függő, átfutó, kiegyenlítő bevételek</t>
  </si>
  <si>
    <t>Függő, átfutó, kiegyenlítő kiadások</t>
  </si>
  <si>
    <t>Helyi adók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</si>
  <si>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</si>
  <si>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</si>
  <si>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</si>
  <si>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</si>
  <si>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</si>
  <si>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</si>
  <si>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</si>
  <si>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</si>
  <si>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</si>
  <si>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</si>
  <si>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</si>
  <si>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Gyermekétkeztetés dolgozói bértámogatása</t>
  </si>
  <si>
    <t>Gyermekétkeztetés üzemeltetési támogatása</t>
  </si>
  <si>
    <t>Üdülőhelyi feladatok</t>
  </si>
  <si>
    <t>Bérkompenzáció</t>
  </si>
  <si>
    <t>Központi, irányítószervi támogatás</t>
  </si>
  <si>
    <t>működési költségek</t>
  </si>
  <si>
    <t>Egyéb áruhasználati és szolgáltatási adók (idegenforgalmi adó)</t>
  </si>
  <si>
    <t>ÁHT-on belüli megelőlegezések visszafizetése</t>
  </si>
  <si>
    <t>BEVÉTELEK</t>
  </si>
  <si>
    <t>Sorszám</t>
  </si>
  <si>
    <t>Len-Ki Baba Kft</t>
  </si>
  <si>
    <t xml:space="preserve">K I M U T A T Á S </t>
  </si>
  <si>
    <t>Ft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</si>
  <si>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</si>
  <si>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</si>
  <si>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</si>
  <si>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</si>
  <si>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</si>
  <si>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</si>
  <si>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2018.</t>
  </si>
  <si>
    <t>Forint</t>
  </si>
  <si>
    <t>Felhalmozási célú támogatások Áht-n belül</t>
  </si>
  <si>
    <t>Működési célú támogatások Áht-n belül</t>
  </si>
  <si>
    <t>Működési célú támogatások Áht-n kívül</t>
  </si>
  <si>
    <t>Vagyoni típusú adók (építményadó)</t>
  </si>
  <si>
    <t>Termékek és szolgáltatások adói</t>
  </si>
  <si>
    <t>2019.</t>
  </si>
  <si>
    <t>2020.</t>
  </si>
  <si>
    <t>Hozzájárulás  (Ft)</t>
  </si>
  <si>
    <t>Eszközbeszerzés-gép,berendezés (Polgármester)</t>
  </si>
  <si>
    <t>Eszközbeszerzés-informatikai (Polgármester)</t>
  </si>
  <si>
    <t>Eszközbeszerzés-informatikai (Gyermekorvos)</t>
  </si>
  <si>
    <t>Eszközbeszerzés-gép,berendezés (védőnő)</t>
  </si>
  <si>
    <t>Beruházás (immateriális javak) összesen:</t>
  </si>
  <si>
    <t>Beruházás (ingatlan) összesen:</t>
  </si>
  <si>
    <t>Beruházás (informatikai eszköz) összesen:</t>
  </si>
  <si>
    <t>Beruházás (gép,berendezés) összesen:</t>
  </si>
  <si>
    <t>BERUHÁZÁS MINDÖSSZESEN:</t>
  </si>
  <si>
    <t>Pályázati támogatás</t>
  </si>
  <si>
    <t>BERUHÁZÁS</t>
  </si>
  <si>
    <t>Önerő</t>
  </si>
  <si>
    <t>Pályázati önrész</t>
  </si>
  <si>
    <t>FELÚJÍTÁS</t>
  </si>
  <si>
    <t>Vajda János Öregdiákok Egyesülete</t>
  </si>
  <si>
    <t>Felhaszánálási hely</t>
  </si>
  <si>
    <t>Temető</t>
  </si>
  <si>
    <t>Út</t>
  </si>
  <si>
    <t>Felhasználási hely</t>
  </si>
  <si>
    <t>Város- és községgazdálkodás</t>
  </si>
  <si>
    <t>Strand</t>
  </si>
  <si>
    <t>Közvilágítás</t>
  </si>
  <si>
    <t>Igazgatás</t>
  </si>
  <si>
    <t>Gyermekorvos</t>
  </si>
  <si>
    <t>Védőnő</t>
  </si>
  <si>
    <t>Eszközbeszerzés-gép,berendezés (gyermekorvos)</t>
  </si>
  <si>
    <t>Elvonások és befizetések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</si>
  <si>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</si>
  <si>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</si>
  <si>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kulturális támogatás (kulturális illetménypótlék)</t>
  </si>
  <si>
    <t>Város-és községgazd</t>
  </si>
  <si>
    <t>Részesedés beszerzés összesen: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</si>
  <si>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</si>
  <si>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</si>
  <si>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</si>
  <si>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 xml:space="preserve">Beruházás (ingatlan)(pályázat-piac)(nyilvános wc, út, járda, csapadékvíz, piactér lefedése) </t>
  </si>
  <si>
    <t>Beruházás (gép, berendezés)(pályázat-piac)(árusító asztal, mobil árusítóhely, térbútorok, hordozható számítógép)</t>
  </si>
  <si>
    <t>Beruházás (gép, berendezés)(pályázat-mondák)(berendezések, informatikai-audiovizuális eszközök, élményelemek, szoftverek)</t>
  </si>
  <si>
    <t>Beruházás (ingatlan)(pályázat-mondák)(telek vásárlás, látogatóközpont épülete, külső játszótér, kézműves pince, alkotó terasz, parkoló)</t>
  </si>
  <si>
    <t xml:space="preserve">Vonyarcvashegy Sportegyesület </t>
  </si>
  <si>
    <t>Lakossági víz-csatornaszolgáltatási támogatás</t>
  </si>
  <si>
    <t>Kiegészítő, központosított előirányzat</t>
  </si>
  <si>
    <t>Egyéb kulturális támogatás (könyvtári érdekeltségnövelő támogatás)</t>
  </si>
  <si>
    <t>Temetői kőkeresztek felújítása</t>
  </si>
  <si>
    <t>Közös Hivatal felújítása</t>
  </si>
  <si>
    <t>Szociális tűzifa támogatás</t>
  </si>
  <si>
    <t>Morzsa Állatvédelmi Alapítvány</t>
  </si>
  <si>
    <t>VONYARVASHEGY NAGYKÖZSÉG ÖNKORMÁNYZAT</t>
  </si>
  <si>
    <t>KÖTELEZŐ FELADATOK</t>
  </si>
  <si>
    <t>ÖNKÉNT VÁLLALT FELADATOK</t>
  </si>
  <si>
    <t>ÁLLAMI (ÁLLAMIGAZGATÁSI) FELADATOK</t>
  </si>
  <si>
    <t>2021.</t>
  </si>
  <si>
    <t>Díjak, pótlékok, bírságok, talajterhelési díj</t>
  </si>
  <si>
    <t>Bírság-, pótlék- és díjbevétel, talajterhelési díj</t>
  </si>
  <si>
    <t>2018. év utáni szükséglet</t>
  </si>
  <si>
    <t>Polgármesteri illetmény támogatása</t>
  </si>
  <si>
    <t>Járdafelújítás (strand)</t>
  </si>
  <si>
    <t>Műfüves pálya labdafogó hálótartó oszlopok</t>
  </si>
  <si>
    <t>Önkorm.vagyonnal való gazd.</t>
  </si>
  <si>
    <t>Kisajátítás-kártalanítás (Mondák Háza)</t>
  </si>
  <si>
    <t>Emléktábla (Tóvölgyi László)</t>
  </si>
  <si>
    <t>Beruházás (ingatlan)(strand)</t>
  </si>
  <si>
    <t>Kamerarendszer (temető)</t>
  </si>
  <si>
    <t>4. tájékoztató tábla</t>
  </si>
  <si>
    <t>2020. évi</t>
  </si>
  <si>
    <t>2021. évi</t>
  </si>
  <si>
    <t>Forintban</t>
  </si>
  <si>
    <t xml:space="preserve">                              ebből: Közművelődési érdekeltségnövelő pályázati önerő</t>
  </si>
  <si>
    <t>Külterületi utak fejlesztése (külterületi utak pályázat)</t>
  </si>
  <si>
    <t>Belterületi utak</t>
  </si>
  <si>
    <t>Szoftver (strand)</t>
  </si>
  <si>
    <t>felhalmozási c.támogatás (eszközbeszerzés)</t>
  </si>
  <si>
    <t>Felhalmozási célú támogatások</t>
  </si>
  <si>
    <t>Tálcacsúszda (önkorm.étkeztetési fejlesztések támog.pályázat)</t>
  </si>
  <si>
    <t>Gyermekétkeztetés</t>
  </si>
  <si>
    <t>Tálcakocsi, tálca (önkorm.étkeztetési fejlesztések támog.pályázat)</t>
  </si>
  <si>
    <t>2019. ÉVI KÖLTSÉGVETÉSÉNEK ÖSSZEVONT MÉRLEGE</t>
  </si>
  <si>
    <t>Vonyarcvashegy Nagyközség Önkormányzata  2019. évi adósságot keletkeztető fejlesztési céljai</t>
  </si>
  <si>
    <t>Felhasználás 2018.12.31-ig</t>
  </si>
  <si>
    <t>2020.után</t>
  </si>
  <si>
    <t>Önkormányzaton kívüli EU-s projektekhez történő hozzájárulás 2019. évi előirányzat</t>
  </si>
  <si>
    <t>Vonyarcvashegy, 2019. .......................... hó .....nap</t>
  </si>
  <si>
    <t>2017. évi tény</t>
  </si>
  <si>
    <t>2018. évi várható</t>
  </si>
  <si>
    <t>2018. év előtti kifizetés</t>
  </si>
  <si>
    <t>2020. után</t>
  </si>
  <si>
    <t>2022. évi</t>
  </si>
  <si>
    <t>a 2019. évben céljelleggel juttatott támogatásokról</t>
  </si>
  <si>
    <t>Támogatás összege (2019.01)</t>
  </si>
  <si>
    <t>A 2019. évi működési és felhalmozási feladatok állami támogatásának alakulása jogcímenként</t>
  </si>
  <si>
    <t>2019. évi támogatás (2019.01)</t>
  </si>
  <si>
    <t>Előirányzat-felhasználási terv 2019. évre</t>
  </si>
  <si>
    <t>(2019.01)</t>
  </si>
  <si>
    <t>2019. év utáni szükséglet</t>
  </si>
  <si>
    <t>Eredeti előirányzat (2019.01)</t>
  </si>
  <si>
    <t>2019. ÉVI KÖLTSÉGVETÉSÉNEK MÉRLEGE</t>
  </si>
  <si>
    <t>6. melléklet a …/2019.(…) önkormányzati rendelethez</t>
  </si>
  <si>
    <t>Bérkompenzáció (2019. év)</t>
  </si>
  <si>
    <t>2018. évi pótigény</t>
  </si>
  <si>
    <t>Csalogány utca aszfaltozás, padka építés</t>
  </si>
  <si>
    <t>2019-2019</t>
  </si>
  <si>
    <t>Településfejlesztés</t>
  </si>
  <si>
    <t>2018-2019</t>
  </si>
  <si>
    <t>Eszközfelújítás (strand)</t>
  </si>
  <si>
    <t>Eszközbeszerzés (kandelláber, lámpatestek)</t>
  </si>
  <si>
    <t>Részesedés beszerzés</t>
  </si>
  <si>
    <t xml:space="preserve">Óvoda étkező bejárati ajtaja </t>
  </si>
  <si>
    <t>Bölcsöde építése (tervezési díj)</t>
  </si>
  <si>
    <t>Eszközbeszerzés-gép,berendezés (város-községgazdálkodás)(pl. tűzoltóautó, utánfutó)</t>
  </si>
  <si>
    <t>Színpad (pályázat-színpad)</t>
  </si>
  <si>
    <t>Eszközbeszerzés-gép,berendezés (háziorvos, iskolaorvos)</t>
  </si>
  <si>
    <t>Háziorvos, Ifjuság-eü.gond.</t>
  </si>
  <si>
    <t>Eszközbeszerzés-gép,berendezés (strand)(pl. röplabdapálya fejlesztése, elektromos autó)</t>
  </si>
  <si>
    <t>BERUHÁZÁSi (felhalmozási) kiadások előirányzata beruházásonként</t>
  </si>
  <si>
    <t>FELÚJÍTÁSi kiadások előirányzata felújításonként</t>
  </si>
  <si>
    <t>Éves eredeti kiadási előirányzat: 1.154.843.483 Ft</t>
  </si>
  <si>
    <t>Keszthely és Környéke Egészségügyéért Alapítvány</t>
  </si>
  <si>
    <t xml:space="preserve"> 1.2. melléklet a 3/2019. (II.28.) önkormányzati rendelethez</t>
  </si>
  <si>
    <t>2.1. melléklet a 3/2019. (II.28.) önkormányzati rendelethez</t>
  </si>
  <si>
    <t>2.2. melléklet a 3/2019. (II.28.) önkormányzati rendelethez</t>
  </si>
  <si>
    <t>9.1. melléklet a 3/2019. (II.28.) önkormányzati rendelethez</t>
  </si>
  <si>
    <t>9.1.1. melléklet a 3/2019. (II.28.) önkormányzati rendelethez</t>
  </si>
  <si>
    <t>9.1.2. melléklet a 3/2019. (II.28.) önkormányzati rendelethez</t>
  </si>
  <si>
    <t>9.1.3. melléklet a 3/2019. (II.28.) önkormányzati rendelethez</t>
  </si>
  <si>
    <t>9.2. melléklet a 3/2019. (II.28.) önkormányzati rendelethez</t>
  </si>
  <si>
    <t>9.2.(2-1) melléklet a 3/2019. (II.28.) önkormányzati rendelethez</t>
  </si>
  <si>
    <t>9.2.(2-2) melléklet a 3/2019. (II.28.) önkormányzati rendelethez</t>
  </si>
  <si>
    <t>9.2.1. melléklet a 3/2019. (II.28.) önkormányzati rendelethez</t>
  </si>
  <si>
    <t>9.2.2. melléklet a 3/2019. (II.28.) önkormányzati rendelethez</t>
  </si>
  <si>
    <t>9.2.3. melléklet a 3/2019. (II.28.) önkormányzati rendelethez</t>
  </si>
  <si>
    <t xml:space="preserve">9. melléklet a 3/2019. (II.28.) önkormányzati rendelethez </t>
  </si>
  <si>
    <t xml:space="preserve">9.3.1 melléklet a 3/2019. (II.28.) önkormányzati rendelethez </t>
  </si>
  <si>
    <t xml:space="preserve">9.3.2 melléklet a 3/2019. (II.28.) önkormányzati rendelethez </t>
  </si>
  <si>
    <t xml:space="preserve">9.3.3 melléklet a 3/2019. (II.28.) önkormányzati rendelethez 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</si>
</sst>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5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u/>
      <sz val="12"/>
      <name val="Times New Roman CE"/>
      <charset val="238"/>
    </font>
    <font>
      <i/>
      <sz val="10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849">
    <xf numFmtId="0" fontId="0" fillId="0" borderId="0" xfId="0"/>
    <xf numFmtId="164" fontId="9" fillId="0" borderId="0" xfId="0" applyNumberFormat="1" applyFont="1" applyFill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8" fillId="0" borderId="2" xfId="4" applyFont="1" applyFill="1" applyBorder="1" applyAlignment="1" applyProtection="1">
      <alignment horizontal="left" vertical="center" wrapText="1" indent="1"/>
    </xf>
    <xf numFmtId="0" fontId="18" fillId="0" borderId="11" xfId="4" applyFont="1" applyFill="1" applyBorder="1" applyAlignment="1" applyProtection="1">
      <alignment horizontal="left" vertical="center" wrapText="1" indent="1"/>
    </xf>
    <xf numFmtId="0" fontId="18" fillId="0" borderId="12" xfId="4" applyFont="1" applyFill="1" applyBorder="1" applyAlignment="1" applyProtection="1">
      <alignment horizontal="left" vertical="center" wrapText="1" indent="1"/>
    </xf>
    <xf numFmtId="0" fontId="18" fillId="0" borderId="13" xfId="4" applyFont="1" applyFill="1" applyBorder="1" applyAlignment="1" applyProtection="1">
      <alignment horizontal="left" vertical="center" wrapText="1" indent="1"/>
    </xf>
    <xf numFmtId="0" fontId="16" fillId="0" borderId="7" xfId="4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4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4" fillId="0" borderId="6" xfId="0" applyFont="1" applyFill="1" applyBorder="1" applyAlignment="1" applyProtection="1">
      <alignment horizontal="left" vertical="center"/>
    </xf>
    <xf numFmtId="0" fontId="14" fillId="0" borderId="18" xfId="0" applyFont="1" applyFill="1" applyBorder="1" applyAlignment="1" applyProtection="1">
      <alignment vertical="center" wrapText="1"/>
    </xf>
    <xf numFmtId="3" fontId="14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4" applyFont="1" applyFill="1" applyProtection="1"/>
    <xf numFmtId="0" fontId="11" fillId="0" borderId="6" xfId="4" applyFont="1" applyFill="1" applyBorder="1" applyAlignment="1" applyProtection="1">
      <alignment horizontal="center" vertical="center" wrapText="1"/>
    </xf>
    <xf numFmtId="0" fontId="11" fillId="0" borderId="7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center" vertical="center" wrapText="1"/>
    </xf>
    <xf numFmtId="0" fontId="15" fillId="0" borderId="5" xfId="4" applyFont="1" applyFill="1" applyBorder="1" applyAlignment="1" applyProtection="1">
      <alignment horizontal="center" vertical="center" wrapText="1"/>
    </xf>
    <xf numFmtId="0" fontId="18" fillId="0" borderId="0" xfId="4" applyFont="1" applyFill="1" applyProtection="1"/>
    <xf numFmtId="0" fontId="15" fillId="0" borderId="6" xfId="4" applyFont="1" applyFill="1" applyBorder="1" applyAlignment="1" applyProtection="1">
      <alignment horizontal="left" vertical="center" wrapText="1" indent="1"/>
    </xf>
    <xf numFmtId="0" fontId="15" fillId="0" borderId="7" xfId="4" applyFont="1" applyFill="1" applyBorder="1" applyAlignment="1" applyProtection="1">
      <alignment horizontal="left" vertical="center" wrapText="1" indent="1"/>
    </xf>
    <xf numFmtId="164" fontId="15" fillId="0" borderId="8" xfId="4" applyNumberFormat="1" applyFont="1" applyFill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49" fontId="18" fillId="0" borderId="20" xfId="4" applyNumberFormat="1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left" wrapText="1" indent="1"/>
    </xf>
    <xf numFmtId="164" fontId="1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21" xfId="4" applyNumberFormat="1" applyFont="1" applyFill="1" applyBorder="1" applyAlignment="1" applyProtection="1">
      <alignment horizontal="left" vertical="center" wrapText="1" indent="1"/>
    </xf>
    <xf numFmtId="0" fontId="25" fillId="0" borderId="11" xfId="0" applyFont="1" applyBorder="1" applyAlignment="1" applyProtection="1">
      <alignment horizontal="left" wrapText="1" indent="1"/>
    </xf>
    <xf numFmtId="164" fontId="1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1" xfId="0" applyFont="1" applyBorder="1" applyAlignment="1" applyProtection="1">
      <alignment horizontal="left" vertical="center" wrapText="1" indent="1"/>
    </xf>
    <xf numFmtId="49" fontId="18" fillId="0" borderId="22" xfId="4" applyNumberFormat="1" applyFont="1" applyFill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0" fontId="20" fillId="0" borderId="7" xfId="0" applyFont="1" applyBorder="1" applyAlignment="1" applyProtection="1">
      <alignment horizontal="left" vertical="center" wrapText="1" indent="1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3" xfId="0" applyFont="1" applyBorder="1" applyAlignment="1" applyProtection="1">
      <alignment horizontal="left" wrapText="1" indent="1"/>
    </xf>
    <xf numFmtId="164" fontId="16" fillId="0" borderId="8" xfId="4" applyNumberFormat="1" applyFont="1" applyFill="1" applyBorder="1" applyAlignment="1" applyProtection="1">
      <alignment horizontal="right" vertical="center" wrapText="1" indent="1"/>
    </xf>
    <xf numFmtId="164" fontId="18" fillId="0" borderId="14" xfId="4" applyNumberFormat="1" applyFont="1" applyFill="1" applyBorder="1" applyAlignment="1" applyProtection="1">
      <alignment horizontal="right" vertical="center" wrapText="1" indent="1"/>
    </xf>
    <xf numFmtId="0" fontId="25" fillId="0" borderId="11" xfId="0" quotePrefix="1" applyFont="1" applyBorder="1" applyAlignment="1" applyProtection="1">
      <alignment horizontal="left" wrapText="1" indent="1"/>
    </xf>
    <xf numFmtId="164" fontId="6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4" applyFont="1" applyFill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vertical="center" wrapText="1"/>
    </xf>
    <xf numFmtId="0" fontId="25" fillId="0" borderId="23" xfId="0" applyFont="1" applyBorder="1" applyAlignment="1" applyProtection="1">
      <alignment vertical="center" wrapText="1"/>
    </xf>
    <xf numFmtId="0" fontId="25" fillId="0" borderId="20" xfId="0" applyFont="1" applyBorder="1" applyAlignment="1" applyProtection="1">
      <alignment wrapText="1"/>
    </xf>
    <xf numFmtId="0" fontId="25" fillId="0" borderId="21" xfId="0" applyFont="1" applyBorder="1" applyAlignment="1" applyProtection="1">
      <alignment wrapText="1"/>
    </xf>
    <xf numFmtId="0" fontId="25" fillId="0" borderId="22" xfId="0" applyFont="1" applyBorder="1" applyAlignment="1" applyProtection="1">
      <alignment wrapText="1"/>
    </xf>
    <xf numFmtId="164" fontId="15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7" xfId="0" applyFont="1" applyBorder="1" applyAlignment="1" applyProtection="1">
      <alignment wrapText="1"/>
    </xf>
    <xf numFmtId="0" fontId="20" fillId="0" borderId="25" xfId="0" applyFont="1" applyBorder="1" applyAlignment="1" applyProtection="1">
      <alignment vertical="center" wrapText="1"/>
    </xf>
    <xf numFmtId="0" fontId="20" fillId="0" borderId="26" xfId="0" applyFont="1" applyBorder="1" applyAlignment="1" applyProtection="1">
      <alignment wrapText="1"/>
    </xf>
    <xf numFmtId="0" fontId="12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 applyBorder="1" applyAlignment="1" applyProtection="1">
      <alignment vertical="center" wrapText="1"/>
    </xf>
    <xf numFmtId="0" fontId="2" fillId="0" borderId="0" xfId="4" applyFont="1" applyFill="1" applyAlignment="1" applyProtection="1"/>
    <xf numFmtId="0" fontId="15" fillId="0" borderId="6" xfId="4" applyFont="1" applyFill="1" applyBorder="1" applyAlignment="1" applyProtection="1">
      <alignment horizontal="center" vertical="center" wrapText="1"/>
    </xf>
    <xf numFmtId="0" fontId="15" fillId="0" borderId="7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left" vertical="center" wrapText="1" indent="1"/>
    </xf>
    <xf numFmtId="0" fontId="15" fillId="0" borderId="5" xfId="4" applyFont="1" applyFill="1" applyBorder="1" applyAlignment="1" applyProtection="1">
      <alignment vertical="center" wrapText="1"/>
    </xf>
    <xf numFmtId="164" fontId="15" fillId="0" borderId="27" xfId="4" applyNumberFormat="1" applyFont="1" applyFill="1" applyBorder="1" applyAlignment="1" applyProtection="1">
      <alignment horizontal="right" vertical="center" wrapText="1" indent="1"/>
    </xf>
    <xf numFmtId="49" fontId="18" fillId="0" borderId="28" xfId="4" applyNumberFormat="1" applyFont="1" applyFill="1" applyBorder="1" applyAlignment="1" applyProtection="1">
      <alignment horizontal="left" vertical="center" wrapText="1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0" xfId="4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8" fillId="0" borderId="23" xfId="4" applyFont="1" applyFill="1" applyBorder="1" applyAlignment="1" applyProtection="1">
      <alignment horizontal="left" vertical="center" wrapText="1" indent="6"/>
    </xf>
    <xf numFmtId="0" fontId="18" fillId="0" borderId="11" xfId="4" applyFont="1" applyFill="1" applyBorder="1" applyAlignment="1" applyProtection="1">
      <alignment horizontal="left" indent="6"/>
    </xf>
    <xf numFmtId="0" fontId="18" fillId="0" borderId="11" xfId="4" applyFont="1" applyFill="1" applyBorder="1" applyAlignment="1" applyProtection="1">
      <alignment horizontal="left" vertical="center" wrapText="1" indent="6"/>
    </xf>
    <xf numFmtId="49" fontId="18" fillId="0" borderId="31" xfId="4" applyNumberFormat="1" applyFont="1" applyFill="1" applyBorder="1" applyAlignment="1" applyProtection="1">
      <alignment horizontal="left" vertical="center" wrapText="1" indent="1"/>
    </xf>
    <xf numFmtId="49" fontId="18" fillId="0" borderId="32" xfId="4" applyNumberFormat="1" applyFont="1" applyFill="1" applyBorder="1" applyAlignment="1" applyProtection="1">
      <alignment horizontal="left" vertical="center" wrapText="1" indent="1"/>
    </xf>
    <xf numFmtId="0" fontId="18" fillId="0" borderId="3" xfId="4" applyFont="1" applyFill="1" applyBorder="1" applyAlignment="1" applyProtection="1">
      <alignment horizontal="left" vertical="center" wrapText="1" indent="7"/>
    </xf>
    <xf numFmtId="164" fontId="18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5" xfId="4" applyFont="1" applyFill="1" applyBorder="1" applyAlignment="1" applyProtection="1">
      <alignment horizontal="left" vertical="center" wrapText="1" indent="1"/>
    </xf>
    <xf numFmtId="0" fontId="15" fillId="0" borderId="26" xfId="4" applyFont="1" applyFill="1" applyBorder="1" applyAlignment="1" applyProtection="1">
      <alignment vertical="center" wrapText="1"/>
    </xf>
    <xf numFmtId="0" fontId="18" fillId="0" borderId="23" xfId="4" applyFont="1" applyFill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3" xfId="4" applyFont="1" applyFill="1" applyBorder="1" applyAlignment="1" applyProtection="1">
      <alignment horizontal="left" vertical="center" wrapText="1" indent="6"/>
    </xf>
    <xf numFmtId="164" fontId="18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8" xfId="0" applyNumberFormat="1" applyFont="1" applyBorder="1" applyAlignment="1" applyProtection="1">
      <alignment horizontal="right" vertical="center" wrapText="1" indent="1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0" fontId="7" fillId="0" borderId="0" xfId="4" applyFont="1" applyFill="1" applyProtection="1"/>
    <xf numFmtId="0" fontId="20" fillId="0" borderId="25" xfId="0" applyFont="1" applyBorder="1" applyAlignment="1" applyProtection="1">
      <alignment horizontal="left" vertical="center" wrapText="1" indent="1"/>
    </xf>
    <xf numFmtId="0" fontId="21" fillId="0" borderId="26" xfId="0" applyFont="1" applyBorder="1" applyAlignment="1" applyProtection="1">
      <alignment horizontal="left" vertical="center" wrapText="1" indent="1"/>
    </xf>
    <xf numFmtId="0" fontId="15" fillId="0" borderId="7" xfId="4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11" fillId="0" borderId="29" xfId="0" quotePrefix="1" applyFont="1" applyFill="1" applyBorder="1" applyAlignment="1" applyProtection="1">
      <alignment horizontal="right" vertical="center" indent="1"/>
    </xf>
    <xf numFmtId="0" fontId="12" fillId="0" borderId="0" xfId="0" applyFont="1" applyFill="1" applyAlignment="1">
      <alignment vertical="center"/>
    </xf>
    <xf numFmtId="0" fontId="11" fillId="0" borderId="35" xfId="0" applyFont="1" applyFill="1" applyBorder="1" applyAlignment="1" applyProtection="1">
      <alignment vertical="center"/>
    </xf>
    <xf numFmtId="49" fontId="11" fillId="0" borderId="36" xfId="0" applyNumberFormat="1" applyFont="1" applyFill="1" applyBorder="1" applyAlignment="1" applyProtection="1">
      <alignment horizontal="right" vertical="center" indent="1"/>
    </xf>
    <xf numFmtId="0" fontId="14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4" fontId="11" fillId="0" borderId="34" xfId="0" applyNumberFormat="1" applyFont="1" applyFill="1" applyBorder="1" applyAlignment="1" applyProtection="1">
      <alignment horizontal="right" vertical="center" wrapText="1" indent="1"/>
    </xf>
    <xf numFmtId="0" fontId="27" fillId="0" borderId="13" xfId="0" applyFont="1" applyBorder="1" applyAlignment="1" applyProtection="1">
      <alignment horizontal="left" wrapText="1" indent="1"/>
    </xf>
    <xf numFmtId="0" fontId="27" fillId="0" borderId="11" xfId="0" applyFont="1" applyBorder="1" applyAlignment="1" applyProtection="1">
      <alignment horizontal="left" wrapText="1" indent="1"/>
    </xf>
    <xf numFmtId="0" fontId="27" fillId="0" borderId="11" xfId="0" quotePrefix="1" applyFont="1" applyBorder="1" applyAlignment="1" applyProtection="1">
      <alignment horizontal="left" wrapText="1" indent="1"/>
    </xf>
    <xf numFmtId="0" fontId="27" fillId="0" borderId="23" xfId="0" applyFont="1" applyBorder="1" applyAlignment="1" applyProtection="1">
      <alignment horizontal="left" wrapText="1" indent="1"/>
    </xf>
    <xf numFmtId="0" fontId="18" fillId="0" borderId="11" xfId="4" applyFont="1" applyFill="1" applyBorder="1" applyAlignment="1" applyProtection="1">
      <alignment horizontal="left" vertical="center" wrapText="1" indent="7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  <xf numFmtId="0" fontId="19" fillId="0" borderId="0" xfId="4" applyFont="1" applyFill="1"/>
    <xf numFmtId="164" fontId="29" fillId="0" borderId="0" xfId="4" applyNumberFormat="1" applyFont="1" applyFill="1" applyBorder="1" applyAlignment="1" applyProtection="1">
      <alignment horizontal="centerContinuous" vertical="center"/>
    </xf>
    <xf numFmtId="0" fontId="30" fillId="0" borderId="0" xfId="0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/>
    <xf numFmtId="0" fontId="15" fillId="0" borderId="28" xfId="4" applyFont="1" applyFill="1" applyBorder="1" applyAlignment="1" applyProtection="1">
      <alignment horizontal="center" vertical="center" wrapText="1"/>
    </xf>
    <xf numFmtId="0" fontId="15" fillId="0" borderId="2" xfId="4" applyFont="1" applyFill="1" applyBorder="1" applyAlignment="1" applyProtection="1">
      <alignment horizontal="center" vertical="center" wrapText="1"/>
    </xf>
    <xf numFmtId="0" fontId="15" fillId="0" borderId="29" xfId="4" applyFont="1" applyFill="1" applyBorder="1" applyAlignment="1" applyProtection="1">
      <alignment horizontal="center" vertical="center" wrapText="1"/>
    </xf>
    <xf numFmtId="0" fontId="18" fillId="0" borderId="6" xfId="4" applyFont="1" applyFill="1" applyBorder="1" applyAlignment="1" applyProtection="1">
      <alignment horizontal="center" vertical="center"/>
    </xf>
    <xf numFmtId="0" fontId="18" fillId="0" borderId="7" xfId="4" applyFont="1" applyFill="1" applyBorder="1" applyAlignment="1" applyProtection="1">
      <alignment horizontal="center" vertical="center"/>
    </xf>
    <xf numFmtId="0" fontId="18" fillId="0" borderId="8" xfId="4" applyFont="1" applyFill="1" applyBorder="1" applyAlignment="1" applyProtection="1">
      <alignment horizontal="center" vertical="center"/>
    </xf>
    <xf numFmtId="0" fontId="18" fillId="0" borderId="28" xfId="4" applyFont="1" applyFill="1" applyBorder="1" applyAlignment="1" applyProtection="1">
      <alignment horizontal="center" vertical="center"/>
    </xf>
    <xf numFmtId="0" fontId="18" fillId="0" borderId="2" xfId="4" applyFont="1" applyFill="1" applyBorder="1" applyProtection="1">
      <protection locked="0"/>
    </xf>
    <xf numFmtId="166" fontId="18" fillId="0" borderId="29" xfId="1" applyNumberFormat="1" applyFont="1" applyFill="1" applyBorder="1" applyProtection="1">
      <protection locked="0"/>
    </xf>
    <xf numFmtId="0" fontId="18" fillId="0" borderId="21" xfId="4" applyFont="1" applyFill="1" applyBorder="1" applyAlignment="1" applyProtection="1">
      <alignment horizontal="center" vertical="center"/>
    </xf>
    <xf numFmtId="0" fontId="18" fillId="0" borderId="11" xfId="4" applyFont="1" applyFill="1" applyBorder="1" applyProtection="1">
      <protection locked="0"/>
    </xf>
    <xf numFmtId="166" fontId="18" fillId="0" borderId="17" xfId="1" applyNumberFormat="1" applyFont="1" applyFill="1" applyBorder="1" applyProtection="1">
      <protection locked="0"/>
    </xf>
    <xf numFmtId="0" fontId="18" fillId="0" borderId="22" xfId="4" applyFont="1" applyFill="1" applyBorder="1" applyAlignment="1" applyProtection="1">
      <alignment horizontal="center" vertical="center"/>
    </xf>
    <xf numFmtId="0" fontId="18" fillId="0" borderId="23" xfId="4" applyFont="1" applyFill="1" applyBorder="1" applyProtection="1">
      <protection locked="0"/>
    </xf>
    <xf numFmtId="166" fontId="18" fillId="0" borderId="24" xfId="1" applyNumberFormat="1" applyFont="1" applyFill="1" applyBorder="1" applyProtection="1">
      <protection locked="0"/>
    </xf>
    <xf numFmtId="0" fontId="15" fillId="0" borderId="6" xfId="4" applyFont="1" applyFill="1" applyBorder="1" applyAlignment="1" applyProtection="1">
      <alignment horizontal="center" vertical="center"/>
    </xf>
    <xf numFmtId="0" fontId="15" fillId="0" borderId="7" xfId="4" applyFont="1" applyFill="1" applyBorder="1" applyAlignment="1" applyProtection="1">
      <alignment horizontal="left" vertical="center" wrapText="1"/>
    </xf>
    <xf numFmtId="166" fontId="15" fillId="0" borderId="8" xfId="1" applyNumberFormat="1" applyFont="1" applyFill="1" applyBorder="1" applyProtection="1"/>
    <xf numFmtId="0" fontId="29" fillId="0" borderId="0" xfId="4" applyFont="1" applyFill="1"/>
    <xf numFmtId="0" fontId="16" fillId="0" borderId="28" xfId="4" applyFont="1" applyFill="1" applyBorder="1" applyAlignment="1" applyProtection="1">
      <alignment horizontal="center" vertical="center" wrapText="1"/>
    </xf>
    <xf numFmtId="0" fontId="16" fillId="0" borderId="2" xfId="4" applyFont="1" applyFill="1" applyBorder="1" applyAlignment="1" applyProtection="1">
      <alignment horizontal="center" vertical="center" wrapText="1"/>
    </xf>
    <xf numFmtId="0" fontId="6" fillId="0" borderId="6" xfId="4" applyFont="1" applyFill="1" applyBorder="1" applyAlignment="1" applyProtection="1">
      <alignment horizontal="center" vertical="center"/>
    </xf>
    <xf numFmtId="0" fontId="6" fillId="0" borderId="7" xfId="4" applyFont="1" applyFill="1" applyBorder="1" applyAlignment="1" applyProtection="1">
      <alignment horizontal="center" vertical="center"/>
    </xf>
    <xf numFmtId="0" fontId="6" fillId="0" borderId="28" xfId="4" applyFont="1" applyFill="1" applyBorder="1" applyAlignment="1" applyProtection="1">
      <alignment horizontal="center" vertical="center"/>
    </xf>
    <xf numFmtId="0" fontId="6" fillId="0" borderId="13" xfId="4" applyFont="1" applyFill="1" applyBorder="1" applyProtection="1"/>
    <xf numFmtId="0" fontId="6" fillId="0" borderId="21" xfId="4" applyFont="1" applyFill="1" applyBorder="1" applyAlignment="1" applyProtection="1">
      <alignment horizontal="center" vertical="center"/>
    </xf>
    <xf numFmtId="0" fontId="10" fillId="0" borderId="11" xfId="0" applyFont="1" applyBorder="1" applyAlignment="1">
      <alignment horizontal="justify" wrapText="1"/>
    </xf>
    <xf numFmtId="0" fontId="10" fillId="0" borderId="11" xfId="0" applyFont="1" applyBorder="1" applyAlignment="1">
      <alignment wrapText="1"/>
    </xf>
    <xf numFmtId="0" fontId="6" fillId="0" borderId="22" xfId="4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wrapText="1"/>
    </xf>
    <xf numFmtId="0" fontId="24" fillId="0" borderId="6" xfId="4" applyFont="1" applyFill="1" applyBorder="1" applyAlignment="1">
      <alignment horizontal="center" vertical="center"/>
    </xf>
    <xf numFmtId="0" fontId="24" fillId="0" borderId="7" xfId="4" applyFont="1" applyFill="1" applyBorder="1" applyAlignment="1">
      <alignment horizontal="center" vertical="center"/>
    </xf>
    <xf numFmtId="0" fontId="24" fillId="0" borderId="20" xfId="4" applyFont="1" applyFill="1" applyBorder="1" applyAlignment="1">
      <alignment horizontal="center" vertical="center"/>
    </xf>
    <xf numFmtId="0" fontId="24" fillId="0" borderId="13" xfId="4" applyFont="1" applyFill="1" applyBorder="1" applyProtection="1">
      <protection locked="0"/>
    </xf>
    <xf numFmtId="0" fontId="24" fillId="0" borderId="21" xfId="4" applyFont="1" applyFill="1" applyBorder="1" applyAlignment="1">
      <alignment horizontal="center" vertical="center"/>
    </xf>
    <xf numFmtId="0" fontId="24" fillId="0" borderId="11" xfId="4" applyFont="1" applyFill="1" applyBorder="1" applyProtection="1">
      <protection locked="0"/>
    </xf>
    <xf numFmtId="0" fontId="24" fillId="0" borderId="22" xfId="4" applyFont="1" applyFill="1" applyBorder="1" applyAlignment="1">
      <alignment horizontal="center" vertical="center"/>
    </xf>
    <xf numFmtId="0" fontId="24" fillId="0" borderId="23" xfId="4" applyFont="1" applyFill="1" applyBorder="1" applyProtection="1">
      <protection locked="0"/>
    </xf>
    <xf numFmtId="0" fontId="14" fillId="0" borderId="6" xfId="4" applyFont="1" applyFill="1" applyBorder="1" applyAlignment="1">
      <alignment horizontal="center" vertical="center"/>
    </xf>
    <xf numFmtId="0" fontId="14" fillId="0" borderId="7" xfId="4" applyFont="1" applyFill="1" applyBorder="1"/>
    <xf numFmtId="49" fontId="33" fillId="0" borderId="0" xfId="0" applyNumberFormat="1" applyFont="1" applyFill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32" fillId="0" borderId="6" xfId="0" applyNumberFormat="1" applyFont="1" applyFill="1" applyBorder="1" applyAlignment="1" applyProtection="1">
      <alignment horizontal="centerContinuous" vertical="center" wrapText="1"/>
    </xf>
    <xf numFmtId="164" fontId="32" fillId="0" borderId="6" xfId="0" applyNumberFormat="1" applyFont="1" applyFill="1" applyBorder="1" applyAlignment="1" applyProtection="1">
      <alignment horizontal="center" vertical="center" wrapText="1"/>
    </xf>
    <xf numFmtId="164" fontId="35" fillId="0" borderId="0" xfId="0" applyNumberFormat="1" applyFont="1" applyFill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center" vertical="center" wrapText="1"/>
    </xf>
    <xf numFmtId="164" fontId="16" fillId="0" borderId="6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 applyProtection="1">
      <alignment horizontal="center" vertical="center" wrapText="1"/>
    </xf>
    <xf numFmtId="164" fontId="6" fillId="0" borderId="20" xfId="0" applyNumberFormat="1" applyFont="1" applyFill="1" applyBorder="1" applyAlignment="1" applyProtection="1">
      <alignment horizontal="left" vertical="center" wrapText="1" indent="1"/>
    </xf>
    <xf numFmtId="164" fontId="6" fillId="0" borderId="21" xfId="0" applyNumberFormat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1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6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1" xfId="0" applyNumberFormat="1" applyFont="1" applyFill="1" applyBorder="1" applyAlignment="1" applyProtection="1">
      <alignment horizontal="left" vertical="center" wrapText="1" indent="1"/>
    </xf>
    <xf numFmtId="164" fontId="35" fillId="0" borderId="37" xfId="0" applyNumberFormat="1" applyFont="1" applyFill="1" applyBorder="1" applyAlignment="1" applyProtection="1">
      <alignment horizontal="left" vertical="center" wrapText="1" indent="1"/>
    </xf>
    <xf numFmtId="164" fontId="16" fillId="0" borderId="6" xfId="0" applyNumberFormat="1" applyFont="1" applyFill="1" applyBorder="1" applyAlignment="1" applyProtection="1">
      <alignment horizontal="left" vertical="center" wrapText="1" indent="1"/>
    </xf>
    <xf numFmtId="164" fontId="36" fillId="0" borderId="31" xfId="0" applyNumberFormat="1" applyFont="1" applyFill="1" applyBorder="1" applyAlignment="1" applyProtection="1">
      <alignment horizontal="left" vertical="center" wrapText="1" indent="1"/>
    </xf>
    <xf numFmtId="164" fontId="6" fillId="0" borderId="21" xfId="0" applyNumberFormat="1" applyFont="1" applyFill="1" applyBorder="1" applyAlignment="1" applyProtection="1">
      <alignment horizontal="left" vertical="center" wrapText="1" indent="2"/>
    </xf>
    <xf numFmtId="164" fontId="6" fillId="0" borderId="11" xfId="0" applyNumberFormat="1" applyFont="1" applyFill="1" applyBorder="1" applyAlignment="1" applyProtection="1">
      <alignment horizontal="left" vertical="center" wrapText="1" indent="2"/>
    </xf>
    <xf numFmtId="164" fontId="3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0" xfId="0" applyNumberFormat="1" applyFont="1" applyFill="1" applyBorder="1" applyAlignment="1" applyProtection="1">
      <alignment horizontal="left" vertical="center" wrapText="1" indent="2"/>
    </xf>
    <xf numFmtId="164" fontId="6" fillId="0" borderId="22" xfId="0" applyNumberFormat="1" applyFont="1" applyFill="1" applyBorder="1" applyAlignment="1" applyProtection="1">
      <alignment horizontal="left" vertical="center" wrapText="1" indent="2"/>
    </xf>
    <xf numFmtId="164" fontId="35" fillId="0" borderId="6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38" xfId="0" applyNumberFormat="1" applyFont="1" applyFill="1" applyBorder="1" applyAlignment="1" applyProtection="1">
      <alignment horizontal="left" vertical="center" wrapText="1" indent="1"/>
    </xf>
    <xf numFmtId="3" fontId="7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 applyProtection="1">
      <alignment horizontal="center" vertical="center" wrapText="1"/>
    </xf>
    <xf numFmtId="3" fontId="2" fillId="0" borderId="0" xfId="0" applyNumberFormat="1" applyFont="1" applyFill="1" applyAlignment="1" applyProtection="1">
      <alignment vertical="center" wrapText="1"/>
    </xf>
    <xf numFmtId="3" fontId="7" fillId="0" borderId="6" xfId="0" applyNumberFormat="1" applyFont="1" applyFill="1" applyBorder="1" applyAlignment="1" applyProtection="1">
      <alignment horizontal="center" vertical="center" wrapText="1"/>
    </xf>
    <xf numFmtId="3" fontId="7" fillId="0" borderId="18" xfId="0" applyNumberFormat="1" applyFont="1" applyFill="1" applyBorder="1" applyAlignment="1" applyProtection="1">
      <alignment horizontal="center" vertical="center" wrapText="1"/>
    </xf>
    <xf numFmtId="3" fontId="7" fillId="0" borderId="25" xfId="0" applyNumberFormat="1" applyFont="1" applyFill="1" applyBorder="1" applyAlignment="1" applyProtection="1">
      <alignment horizontal="center" vertical="center" wrapText="1"/>
    </xf>
    <xf numFmtId="3" fontId="7" fillId="0" borderId="39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horizontal="center" vertical="center" wrapText="1"/>
    </xf>
    <xf numFmtId="49" fontId="18" fillId="0" borderId="20" xfId="4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18" fillId="0" borderId="21" xfId="4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 wrapText="1"/>
    </xf>
    <xf numFmtId="49" fontId="18" fillId="0" borderId="22" xfId="4" applyNumberFormat="1" applyFont="1" applyFill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wrapText="1"/>
    </xf>
    <xf numFmtId="0" fontId="25" fillId="0" borderId="23" xfId="0" applyFont="1" applyBorder="1" applyAlignment="1" applyProtection="1">
      <alignment wrapText="1"/>
    </xf>
    <xf numFmtId="0" fontId="25" fillId="0" borderId="20" xfId="0" applyFont="1" applyBorder="1" applyAlignment="1" applyProtection="1">
      <alignment horizontal="center" wrapText="1"/>
    </xf>
    <xf numFmtId="0" fontId="25" fillId="0" borderId="21" xfId="0" applyFont="1" applyBorder="1" applyAlignment="1" applyProtection="1">
      <alignment horizontal="center" wrapText="1"/>
    </xf>
    <xf numFmtId="0" fontId="25" fillId="0" borderId="22" xfId="0" applyFont="1" applyBorder="1" applyAlignment="1" applyProtection="1">
      <alignment horizontal="center" wrapText="1"/>
    </xf>
    <xf numFmtId="0" fontId="20" fillId="0" borderId="25" xfId="0" applyFont="1" applyBorder="1" applyAlignment="1" applyProtection="1">
      <alignment horizontal="center" wrapText="1"/>
    </xf>
    <xf numFmtId="0" fontId="22" fillId="0" borderId="0" xfId="0" applyFont="1" applyFill="1" applyAlignment="1">
      <alignment vertical="center" wrapText="1"/>
    </xf>
    <xf numFmtId="49" fontId="18" fillId="0" borderId="28" xfId="4" applyNumberFormat="1" applyFont="1" applyFill="1" applyBorder="1" applyAlignment="1" applyProtection="1">
      <alignment horizontal="center" vertical="center" wrapText="1"/>
    </xf>
    <xf numFmtId="49" fontId="18" fillId="0" borderId="31" xfId="4" applyNumberFormat="1" applyFont="1" applyFill="1" applyBorder="1" applyAlignment="1" applyProtection="1">
      <alignment horizontal="center" vertical="center" wrapText="1"/>
    </xf>
    <xf numFmtId="49" fontId="18" fillId="0" borderId="32" xfId="4" applyNumberFormat="1" applyFont="1" applyFill="1" applyBorder="1" applyAlignment="1" applyProtection="1">
      <alignment horizontal="center" vertical="center" wrapText="1"/>
    </xf>
    <xf numFmtId="0" fontId="18" fillId="0" borderId="3" xfId="4" applyFont="1" applyFill="1" applyBorder="1" applyAlignment="1" applyProtection="1">
      <alignment horizontal="left" vertical="center" wrapText="1" indent="6"/>
    </xf>
    <xf numFmtId="49" fontId="16" fillId="0" borderId="6" xfId="4" applyNumberFormat="1" applyFont="1" applyFill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/>
    <xf numFmtId="164" fontId="35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5" fillId="0" borderId="6" xfId="0" applyNumberFormat="1" applyFont="1" applyFill="1" applyBorder="1" applyAlignment="1" applyProtection="1">
      <alignment horizontal="center" vertical="center" wrapText="1"/>
    </xf>
    <xf numFmtId="164" fontId="35" fillId="0" borderId="18" xfId="0" applyNumberFormat="1" applyFont="1" applyFill="1" applyBorder="1" applyAlignment="1" applyProtection="1">
      <alignment horizontal="center" vertical="center" wrapText="1"/>
    </xf>
    <xf numFmtId="164" fontId="35" fillId="0" borderId="25" xfId="0" applyNumberFormat="1" applyFont="1" applyFill="1" applyBorder="1" applyAlignment="1" applyProtection="1">
      <alignment horizontal="center" vertical="center" wrapText="1"/>
    </xf>
    <xf numFmtId="164" fontId="35" fillId="0" borderId="39" xfId="0" applyNumberFormat="1" applyFont="1" applyFill="1" applyBorder="1" applyAlignment="1" applyProtection="1">
      <alignment horizontal="center" vertical="center" wrapText="1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35" fillId="0" borderId="0" xfId="0" applyNumberFormat="1" applyFont="1" applyFill="1" applyAlignment="1">
      <alignment vertical="center" wrapText="1"/>
    </xf>
    <xf numFmtId="0" fontId="14" fillId="0" borderId="6" xfId="4" applyFont="1" applyFill="1" applyBorder="1" applyAlignment="1" applyProtection="1">
      <alignment horizontal="center" vertical="center" wrapText="1"/>
    </xf>
    <xf numFmtId="0" fontId="14" fillId="0" borderId="7" xfId="4" applyFont="1" applyFill="1" applyBorder="1" applyAlignment="1" applyProtection="1">
      <alignment horizontal="center" vertical="center" wrapText="1"/>
    </xf>
    <xf numFmtId="0" fontId="24" fillId="0" borderId="0" xfId="4" applyFont="1" applyFill="1"/>
    <xf numFmtId="0" fontId="14" fillId="0" borderId="6" xfId="4" applyFont="1" applyFill="1" applyBorder="1" applyAlignment="1" applyProtection="1">
      <alignment horizontal="left" vertical="center" wrapText="1" indent="1"/>
    </xf>
    <xf numFmtId="0" fontId="14" fillId="0" borderId="7" xfId="4" applyFont="1" applyFill="1" applyBorder="1" applyAlignment="1" applyProtection="1">
      <alignment horizontal="left" vertical="center" wrapText="1" indent="1"/>
    </xf>
    <xf numFmtId="49" fontId="24" fillId="0" borderId="20" xfId="4" applyNumberFormat="1" applyFont="1" applyFill="1" applyBorder="1" applyAlignment="1" applyProtection="1">
      <alignment horizontal="left" vertical="center" wrapText="1" indent="1"/>
    </xf>
    <xf numFmtId="49" fontId="24" fillId="0" borderId="21" xfId="4" applyNumberFormat="1" applyFont="1" applyFill="1" applyBorder="1" applyAlignment="1" applyProtection="1">
      <alignment horizontal="left" vertical="center" wrapText="1" indent="1"/>
    </xf>
    <xf numFmtId="0" fontId="27" fillId="0" borderId="11" xfId="0" applyFont="1" applyBorder="1" applyAlignment="1" applyProtection="1">
      <alignment horizontal="left" vertical="center" wrapText="1" indent="1"/>
    </xf>
    <xf numFmtId="49" fontId="24" fillId="0" borderId="22" xfId="4" applyNumberFormat="1" applyFont="1" applyFill="1" applyBorder="1" applyAlignment="1" applyProtection="1">
      <alignment horizontal="left" vertical="center" wrapText="1" indent="1"/>
    </xf>
    <xf numFmtId="0" fontId="27" fillId="0" borderId="23" xfId="0" applyFont="1" applyBorder="1" applyAlignment="1" applyProtection="1">
      <alignment horizontal="left" vertical="center" wrapText="1" indent="1"/>
    </xf>
    <xf numFmtId="0" fontId="38" fillId="0" borderId="7" xfId="0" applyFont="1" applyBorder="1" applyAlignment="1" applyProtection="1">
      <alignment horizontal="left" vertical="center" wrapText="1" indent="1"/>
    </xf>
    <xf numFmtId="0" fontId="14" fillId="0" borderId="6" xfId="4" applyFont="1" applyFill="1" applyBorder="1" applyAlignment="1" applyProtection="1">
      <alignment horizontal="left" vertical="center" wrapText="1"/>
    </xf>
    <xf numFmtId="0" fontId="38" fillId="0" borderId="6" xfId="0" applyFont="1" applyBorder="1" applyAlignment="1" applyProtection="1">
      <alignment vertical="center" wrapText="1"/>
    </xf>
    <xf numFmtId="0" fontId="27" fillId="0" borderId="23" xfId="0" applyFont="1" applyBorder="1" applyAlignment="1" applyProtection="1">
      <alignment vertical="center" wrapText="1"/>
    </xf>
    <xf numFmtId="0" fontId="27" fillId="0" borderId="20" xfId="0" applyFont="1" applyBorder="1" applyAlignment="1" applyProtection="1">
      <alignment wrapText="1"/>
    </xf>
    <xf numFmtId="0" fontId="27" fillId="0" borderId="21" xfId="0" applyFont="1" applyBorder="1" applyAlignment="1" applyProtection="1">
      <alignment wrapText="1"/>
    </xf>
    <xf numFmtId="0" fontId="27" fillId="0" borderId="22" xfId="0" applyFont="1" applyBorder="1" applyAlignment="1" applyProtection="1">
      <alignment wrapText="1"/>
    </xf>
    <xf numFmtId="0" fontId="38" fillId="0" borderId="7" xfId="0" applyFont="1" applyBorder="1" applyAlignment="1" applyProtection="1">
      <alignment wrapText="1"/>
    </xf>
    <xf numFmtId="0" fontId="38" fillId="0" borderId="25" xfId="0" applyFont="1" applyBorder="1" applyAlignment="1" applyProtection="1">
      <alignment horizontal="center" vertical="center" wrapText="1"/>
    </xf>
    <xf numFmtId="0" fontId="38" fillId="0" borderId="26" xfId="0" applyFont="1" applyBorder="1" applyAlignment="1" applyProtection="1">
      <alignment wrapText="1"/>
    </xf>
    <xf numFmtId="0" fontId="14" fillId="0" borderId="19" xfId="4" applyFont="1" applyFill="1" applyBorder="1" applyAlignment="1" applyProtection="1">
      <alignment horizontal="left" vertical="center" wrapText="1" indent="1"/>
    </xf>
    <xf numFmtId="0" fontId="14" fillId="0" borderId="5" xfId="4" applyFont="1" applyFill="1" applyBorder="1" applyAlignment="1" applyProtection="1">
      <alignment vertical="center" wrapText="1"/>
    </xf>
    <xf numFmtId="49" fontId="24" fillId="0" borderId="28" xfId="4" applyNumberFormat="1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11" xfId="4" applyFont="1" applyFill="1" applyBorder="1" applyAlignment="1" applyProtection="1">
      <alignment horizontal="left" vertical="center" wrapText="1" indent="1"/>
    </xf>
    <xf numFmtId="0" fontId="24" fillId="0" borderId="30" xfId="4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4" fillId="0" borderId="23" xfId="4" applyFont="1" applyFill="1" applyBorder="1" applyAlignment="1" applyProtection="1">
      <alignment horizontal="left" vertical="center" wrapText="1" indent="6"/>
    </xf>
    <xf numFmtId="0" fontId="24" fillId="0" borderId="11" xfId="4" applyFont="1" applyFill="1" applyBorder="1" applyAlignment="1" applyProtection="1">
      <alignment horizontal="left" indent="6"/>
    </xf>
    <xf numFmtId="0" fontId="24" fillId="0" borderId="11" xfId="4" applyFont="1" applyFill="1" applyBorder="1" applyAlignment="1" applyProtection="1">
      <alignment horizontal="left" vertical="center" wrapText="1" indent="6"/>
    </xf>
    <xf numFmtId="49" fontId="24" fillId="0" borderId="31" xfId="4" applyNumberFormat="1" applyFont="1" applyFill="1" applyBorder="1" applyAlignment="1" applyProtection="1">
      <alignment horizontal="left" vertical="center" wrapText="1" indent="1"/>
    </xf>
    <xf numFmtId="49" fontId="24" fillId="0" borderId="32" xfId="4" applyNumberFormat="1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7"/>
    </xf>
    <xf numFmtId="0" fontId="14" fillId="0" borderId="25" xfId="4" applyFont="1" applyFill="1" applyBorder="1" applyAlignment="1" applyProtection="1">
      <alignment horizontal="left" vertical="center" wrapText="1" indent="1"/>
    </xf>
    <xf numFmtId="0" fontId="14" fillId="0" borderId="26" xfId="4" applyFont="1" applyFill="1" applyBorder="1" applyAlignment="1" applyProtection="1">
      <alignment vertical="center" wrapText="1"/>
    </xf>
    <xf numFmtId="0" fontId="24" fillId="0" borderId="23" xfId="4" applyFont="1" applyFill="1" applyBorder="1" applyAlignment="1" applyProtection="1">
      <alignment horizontal="left" vertical="center" wrapText="1" indent="1"/>
    </xf>
    <xf numFmtId="0" fontId="24" fillId="0" borderId="13" xfId="4" applyFont="1" applyFill="1" applyBorder="1" applyAlignment="1" applyProtection="1">
      <alignment horizontal="left" vertical="center" wrapText="1" indent="6"/>
    </xf>
    <xf numFmtId="0" fontId="35" fillId="0" borderId="7" xfId="4" applyFont="1" applyFill="1" applyBorder="1" applyAlignment="1" applyProtection="1">
      <alignment horizontal="left" vertical="center" wrapText="1" indent="1"/>
    </xf>
    <xf numFmtId="0" fontId="24" fillId="0" borderId="13" xfId="4" applyFont="1" applyFill="1" applyBorder="1" applyAlignment="1" applyProtection="1">
      <alignment horizontal="left" vertical="center" wrapText="1" indent="1"/>
    </xf>
    <xf numFmtId="0" fontId="24" fillId="0" borderId="12" xfId="4" applyFont="1" applyFill="1" applyBorder="1" applyAlignment="1" applyProtection="1">
      <alignment horizontal="left" vertical="center" wrapText="1" indent="1"/>
    </xf>
    <xf numFmtId="0" fontId="35" fillId="0" borderId="26" xfId="4" applyFont="1" applyFill="1" applyBorder="1" applyAlignment="1" applyProtection="1">
      <alignment horizontal="left" vertical="center" wrapText="1" indent="1"/>
    </xf>
    <xf numFmtId="0" fontId="38" fillId="0" borderId="25" xfId="0" applyFont="1" applyBorder="1" applyAlignment="1" applyProtection="1">
      <alignment horizontal="left" vertical="center" wrapText="1" indent="1"/>
    </xf>
    <xf numFmtId="0" fontId="38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Protection="1"/>
    <xf numFmtId="0" fontId="40" fillId="0" borderId="0" xfId="0" applyFont="1" applyFill="1"/>
    <xf numFmtId="0" fontId="32" fillId="0" borderId="6" xfId="0" applyFont="1" applyFill="1" applyBorder="1" applyAlignment="1" applyProtection="1">
      <alignment horizontal="center" vertical="center" wrapText="1"/>
    </xf>
    <xf numFmtId="0" fontId="32" fillId="0" borderId="7" xfId="0" applyFont="1" applyFill="1" applyBorder="1" applyAlignment="1" applyProtection="1">
      <alignment horizontal="center" vertical="center" wrapText="1"/>
    </xf>
    <xf numFmtId="0" fontId="32" fillId="0" borderId="8" xfId="0" applyFont="1" applyFill="1" applyBorder="1" applyAlignment="1" applyProtection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/>
      <protection locked="0"/>
    </xf>
    <xf numFmtId="164" fontId="16" fillId="0" borderId="14" xfId="0" applyNumberFormat="1" applyFont="1" applyFill="1" applyBorder="1" applyAlignment="1" applyProtection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164" fontId="16" fillId="0" borderId="17" xfId="0" applyNumberFormat="1" applyFont="1" applyFill="1" applyBorder="1" applyAlignment="1" applyProtection="1">
      <alignment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vertical="center" wrapText="1"/>
    </xf>
    <xf numFmtId="164" fontId="6" fillId="0" borderId="23" xfId="0" applyNumberFormat="1" applyFont="1" applyFill="1" applyBorder="1" applyAlignment="1" applyProtection="1">
      <alignment vertical="center"/>
      <protection locked="0"/>
    </xf>
    <xf numFmtId="164" fontId="16" fillId="0" borderId="24" xfId="0" applyNumberFormat="1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vertical="center" wrapText="1"/>
    </xf>
    <xf numFmtId="164" fontId="16" fillId="0" borderId="7" xfId="0" applyNumberFormat="1" applyFont="1" applyFill="1" applyBorder="1" applyAlignment="1" applyProtection="1">
      <alignment vertical="center"/>
    </xf>
    <xf numFmtId="164" fontId="16" fillId="0" borderId="8" xfId="0" applyNumberFormat="1" applyFont="1" applyFill="1" applyBorder="1" applyAlignment="1" applyProtection="1">
      <alignment vertical="center"/>
    </xf>
    <xf numFmtId="0" fontId="35" fillId="0" borderId="0" xfId="0" applyFont="1" applyFill="1"/>
    <xf numFmtId="0" fontId="0" fillId="0" borderId="40" xfId="0" applyFont="1" applyFill="1" applyBorder="1" applyProtection="1"/>
    <xf numFmtId="0" fontId="34" fillId="0" borderId="40" xfId="0" applyFont="1" applyFill="1" applyBorder="1" applyAlignment="1" applyProtection="1">
      <alignment horizontal="center"/>
    </xf>
    <xf numFmtId="0" fontId="0" fillId="0" borderId="0" xfId="0" applyFont="1" applyFill="1" applyBorder="1"/>
    <xf numFmtId="0" fontId="34" fillId="0" borderId="0" xfId="0" applyFont="1" applyFill="1" applyBorder="1" applyAlignment="1">
      <alignment horizontal="center"/>
    </xf>
    <xf numFmtId="164" fontId="34" fillId="0" borderId="0" xfId="0" applyNumberFormat="1" applyFont="1" applyFill="1" applyAlignment="1" applyProtection="1">
      <alignment horizontal="right"/>
    </xf>
    <xf numFmtId="164" fontId="39" fillId="0" borderId="0" xfId="0" applyNumberFormat="1" applyFont="1" applyFill="1" applyAlignment="1" applyProtection="1">
      <alignment vertical="center"/>
    </xf>
    <xf numFmtId="164" fontId="32" fillId="0" borderId="41" xfId="0" applyNumberFormat="1" applyFont="1" applyFill="1" applyBorder="1" applyAlignment="1" applyProtection="1">
      <alignment horizontal="center" vertical="center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9" fillId="0" borderId="0" xfId="0" applyNumberFormat="1" applyFont="1" applyFill="1" applyAlignment="1" applyProtection="1">
      <alignment horizontal="center" vertical="center"/>
    </xf>
    <xf numFmtId="164" fontId="16" fillId="0" borderId="4" xfId="0" applyNumberFormat="1" applyFont="1" applyFill="1" applyBorder="1" applyAlignment="1" applyProtection="1">
      <alignment horizontal="center" vertical="center" wrapText="1"/>
    </xf>
    <xf numFmtId="164" fontId="16" fillId="0" borderId="42" xfId="0" applyNumberFormat="1" applyFont="1" applyFill="1" applyBorder="1" applyAlignment="1" applyProtection="1">
      <alignment horizontal="center" vertical="center" wrapText="1"/>
    </xf>
    <xf numFmtId="164" fontId="16" fillId="0" borderId="43" xfId="0" applyNumberFormat="1" applyFont="1" applyFill="1" applyBorder="1" applyAlignment="1" applyProtection="1">
      <alignment horizontal="center" vertical="center" wrapText="1"/>
    </xf>
    <xf numFmtId="164" fontId="39" fillId="0" borderId="0" xfId="0" applyNumberFormat="1" applyFont="1" applyFill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0" applyNumberFormat="1" applyFont="1" applyFill="1" applyBorder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vertical="center" wrapText="1"/>
    </xf>
    <xf numFmtId="164" fontId="6" fillId="0" borderId="7" xfId="0" applyNumberFormat="1" applyFont="1" applyFill="1" applyBorder="1" applyAlignment="1" applyProtection="1">
      <alignment vertical="center" wrapText="1"/>
    </xf>
    <xf numFmtId="164" fontId="6" fillId="0" borderId="8" xfId="0" applyNumberFormat="1" applyFont="1" applyFill="1" applyBorder="1" applyAlignment="1" applyProtection="1">
      <alignment vertical="center" wrapText="1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6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44" xfId="0" applyNumberFormat="1" applyFont="1" applyFill="1" applyBorder="1" applyAlignment="1" applyProtection="1">
      <alignment vertical="center" wrapText="1"/>
      <protection locked="0"/>
    </xf>
    <xf numFmtId="164" fontId="6" fillId="0" borderId="21" xfId="0" applyNumberFormat="1" applyFont="1" applyFill="1" applyBorder="1" applyAlignment="1" applyProtection="1">
      <alignment vertical="center" wrapText="1"/>
      <protection locked="0"/>
    </xf>
    <xf numFmtId="164" fontId="6" fillId="0" borderId="11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44" xfId="0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2" xfId="0" applyNumberFormat="1" applyFont="1" applyFill="1" applyBorder="1" applyAlignment="1" applyProtection="1">
      <alignment horizontal="center" vertical="center" wrapText="1"/>
    </xf>
    <xf numFmtId="164" fontId="6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45" xfId="0" applyNumberFormat="1" applyFont="1" applyFill="1" applyBorder="1" applyAlignment="1" applyProtection="1">
      <alignment vertical="center" wrapText="1"/>
      <protection locked="0"/>
    </xf>
    <xf numFmtId="164" fontId="6" fillId="0" borderId="22" xfId="0" applyNumberFormat="1" applyFont="1" applyFill="1" applyBorder="1" applyAlignment="1" applyProtection="1">
      <alignment vertical="center" wrapText="1"/>
      <protection locked="0"/>
    </xf>
    <xf numFmtId="164" fontId="6" fillId="0" borderId="23" xfId="0" applyNumberFormat="1" applyFont="1" applyFill="1" applyBorder="1" applyAlignment="1" applyProtection="1">
      <alignment vertical="center" wrapText="1"/>
      <protection locked="0"/>
    </xf>
    <xf numFmtId="164" fontId="6" fillId="0" borderId="24" xfId="0" applyNumberFormat="1" applyFont="1" applyFill="1" applyBorder="1" applyAlignment="1" applyProtection="1">
      <alignment vertical="center" wrapText="1"/>
      <protection locked="0"/>
    </xf>
    <xf numFmtId="164" fontId="6" fillId="0" borderId="45" xfId="0" applyNumberFormat="1" applyFont="1" applyFill="1" applyBorder="1" applyAlignment="1" applyProtection="1">
      <alignment vertical="center" wrapText="1"/>
    </xf>
    <xf numFmtId="164" fontId="16" fillId="0" borderId="31" xfId="0" applyNumberFormat="1" applyFont="1" applyFill="1" applyBorder="1" applyAlignment="1" applyProtection="1">
      <alignment horizontal="center" vertical="center" wrapText="1"/>
    </xf>
    <xf numFmtId="164" fontId="6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3" xfId="0" applyNumberFormat="1" applyFont="1" applyFill="1" applyBorder="1" applyAlignment="1" applyProtection="1">
      <alignment vertical="center" wrapText="1"/>
      <protection locked="0"/>
    </xf>
    <xf numFmtId="164" fontId="6" fillId="0" borderId="31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164" fontId="6" fillId="0" borderId="48" xfId="0" applyNumberFormat="1" applyFont="1" applyFill="1" applyBorder="1" applyAlignment="1" applyProtection="1">
      <alignment vertical="center" wrapText="1"/>
      <protection locked="0"/>
    </xf>
    <xf numFmtId="164" fontId="6" fillId="0" borderId="43" xfId="0" applyNumberFormat="1" applyFont="1" applyFill="1" applyBorder="1" applyAlignment="1" applyProtection="1">
      <alignment vertical="center" wrapText="1"/>
    </xf>
    <xf numFmtId="164" fontId="0" fillId="2" borderId="42" xfId="0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Protection="1"/>
    <xf numFmtId="0" fontId="7" fillId="0" borderId="5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right" vertical="center" indent="1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center" vertical="center"/>
    </xf>
    <xf numFmtId="0" fontId="41" fillId="0" borderId="1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 applyProtection="1">
      <alignment horizontal="left" vertical="center" wrapText="1" indent="1"/>
    </xf>
    <xf numFmtId="164" fontId="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 applyProtection="1">
      <alignment horizontal="left" vertical="center" wrapText="1" indent="1"/>
    </xf>
    <xf numFmtId="164" fontId="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0" xfId="0" applyFont="1" applyFill="1" applyBorder="1" applyAlignment="1" applyProtection="1">
      <alignment horizontal="left" vertical="center" wrapText="1" indent="8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6" fillId="0" borderId="2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164" fontId="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 applyProtection="1">
      <alignment vertical="center" wrapText="1"/>
    </xf>
    <xf numFmtId="164" fontId="16" fillId="0" borderId="26" xfId="0" applyNumberFormat="1" applyFont="1" applyFill="1" applyBorder="1" applyAlignment="1" applyProtection="1">
      <alignment vertical="center" wrapText="1"/>
    </xf>
    <xf numFmtId="164" fontId="16" fillId="0" borderId="50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right" vertical="center" wrapText="1"/>
    </xf>
    <xf numFmtId="0" fontId="12" fillId="0" borderId="51" xfId="4" applyFont="1" applyFill="1" applyBorder="1" applyAlignment="1" applyProtection="1">
      <alignment horizontal="center" vertical="center" wrapText="1"/>
    </xf>
    <xf numFmtId="0" fontId="12" fillId="0" borderId="51" xfId="4" applyFont="1" applyFill="1" applyBorder="1" applyAlignment="1" applyProtection="1">
      <alignment vertical="center" wrapText="1"/>
    </xf>
    <xf numFmtId="0" fontId="24" fillId="0" borderId="0" xfId="4" applyFont="1" applyFill="1" applyBorder="1" applyProtection="1"/>
    <xf numFmtId="0" fontId="16" fillId="0" borderId="26" xfId="4" applyFont="1" applyFill="1" applyBorder="1" applyAlignment="1" applyProtection="1">
      <alignment vertical="center" wrapText="1"/>
    </xf>
    <xf numFmtId="3" fontId="2" fillId="0" borderId="0" xfId="0" applyNumberFormat="1" applyFont="1" applyFill="1" applyAlignment="1">
      <alignment horizontal="left" vertical="center" wrapText="1"/>
    </xf>
    <xf numFmtId="0" fontId="7" fillId="0" borderId="0" xfId="4" applyFont="1" applyFill="1" applyAlignment="1" applyProtection="1">
      <alignment horizontal="center"/>
    </xf>
    <xf numFmtId="49" fontId="33" fillId="0" borderId="0" xfId="0" applyNumberFormat="1" applyFont="1" applyFill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0" fontId="8" fillId="0" borderId="0" xfId="4" applyFont="1" applyFill="1" applyAlignment="1" applyProtection="1">
      <alignment horizontal="center"/>
    </xf>
    <xf numFmtId="0" fontId="24" fillId="0" borderId="11" xfId="4" applyFont="1" applyFill="1" applyBorder="1" applyAlignment="1" applyProtection="1">
      <alignment wrapText="1"/>
      <protection locked="0"/>
    </xf>
    <xf numFmtId="0" fontId="35" fillId="0" borderId="0" xfId="0" applyFont="1" applyFill="1" applyProtection="1"/>
    <xf numFmtId="0" fontId="35" fillId="0" borderId="19" xfId="0" applyFont="1" applyFill="1" applyBorder="1" applyAlignment="1" applyProtection="1">
      <alignment vertical="center"/>
    </xf>
    <xf numFmtId="0" fontId="35" fillId="0" borderId="5" xfId="0" applyFont="1" applyFill="1" applyBorder="1" applyAlignment="1" applyProtection="1">
      <alignment horizontal="center" vertical="center"/>
    </xf>
    <xf numFmtId="0" fontId="35" fillId="0" borderId="27" xfId="0" applyFont="1" applyFill="1" applyBorder="1" applyAlignment="1" applyProtection="1">
      <alignment horizontal="center" vertical="center"/>
    </xf>
    <xf numFmtId="49" fontId="33" fillId="0" borderId="21" xfId="0" quotePrefix="1" applyNumberFormat="1" applyFont="1" applyFill="1" applyBorder="1" applyAlignment="1" applyProtection="1">
      <alignment horizontal="left" vertical="center" indent="1"/>
    </xf>
    <xf numFmtId="3" fontId="33" fillId="0" borderId="11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5" fillId="0" borderId="6" xfId="0" applyNumberFormat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left" vertical="center" indent="1"/>
      <protection locked="0"/>
    </xf>
    <xf numFmtId="164" fontId="33" fillId="0" borderId="21" xfId="0" applyNumberFormat="1" applyFont="1" applyFill="1" applyBorder="1" applyAlignment="1" applyProtection="1">
      <alignment vertical="center" wrapText="1"/>
      <protection locked="0"/>
    </xf>
    <xf numFmtId="164" fontId="33" fillId="0" borderId="30" xfId="0" applyNumberFormat="1" applyFont="1" applyFill="1" applyBorder="1" applyAlignment="1" applyProtection="1">
      <alignment vertical="center" wrapText="1"/>
      <protection locked="0"/>
    </xf>
    <xf numFmtId="164" fontId="33" fillId="0" borderId="0" xfId="0" applyNumberFormat="1" applyFont="1" applyFill="1" applyAlignment="1">
      <alignment vertical="center" wrapText="1"/>
    </xf>
    <xf numFmtId="164" fontId="34" fillId="0" borderId="0" xfId="0" applyNumberFormat="1" applyFont="1" applyFill="1" applyAlignment="1">
      <alignment vertical="center" wrapText="1"/>
    </xf>
    <xf numFmtId="164" fontId="35" fillId="0" borderId="6" xfId="0" applyNumberFormat="1" applyFont="1" applyFill="1" applyBorder="1" applyAlignment="1" applyProtection="1">
      <alignment horizontal="left" vertical="center" wrapText="1"/>
    </xf>
    <xf numFmtId="164" fontId="35" fillId="0" borderId="18" xfId="0" applyNumberFormat="1" applyFont="1" applyFill="1" applyBorder="1" applyAlignment="1" applyProtection="1">
      <alignment horizontal="left" vertical="center" wrapText="1"/>
    </xf>
    <xf numFmtId="3" fontId="2" fillId="0" borderId="21" xfId="0" applyNumberFormat="1" applyFont="1" applyFill="1" applyBorder="1" applyAlignment="1" applyProtection="1">
      <alignment vertical="center" wrapText="1"/>
      <protection locked="0"/>
    </xf>
    <xf numFmtId="3" fontId="2" fillId="0" borderId="30" xfId="0" applyNumberFormat="1" applyFont="1" applyFill="1" applyBorder="1" applyAlignment="1" applyProtection="1">
      <alignment vertical="center" wrapText="1"/>
      <protection locked="0"/>
    </xf>
    <xf numFmtId="3" fontId="8" fillId="0" borderId="21" xfId="0" applyNumberFormat="1" applyFont="1" applyFill="1" applyBorder="1" applyAlignment="1" applyProtection="1">
      <alignment vertical="center" wrapText="1"/>
      <protection locked="0"/>
    </xf>
    <xf numFmtId="3" fontId="8" fillId="0" borderId="30" xfId="0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Alignment="1">
      <alignment vertical="center" wrapText="1"/>
    </xf>
    <xf numFmtId="3" fontId="7" fillId="0" borderId="6" xfId="0" applyNumberFormat="1" applyFont="1" applyFill="1" applyBorder="1" applyAlignment="1" applyProtection="1">
      <alignment horizontal="left" vertical="center" wrapText="1"/>
    </xf>
    <xf numFmtId="3" fontId="7" fillId="0" borderId="18" xfId="0" applyNumberFormat="1" applyFont="1" applyFill="1" applyBorder="1" applyAlignment="1" applyProtection="1">
      <alignment horizontal="left" vertical="center" wrapText="1"/>
    </xf>
    <xf numFmtId="0" fontId="28" fillId="0" borderId="0" xfId="4" applyFont="1" applyFill="1" applyProtection="1"/>
    <xf numFmtId="0" fontId="45" fillId="0" borderId="0" xfId="5" applyFont="1" applyFill="1" applyProtection="1"/>
    <xf numFmtId="0" fontId="45" fillId="0" borderId="0" xfId="5" applyFont="1" applyFill="1" applyProtection="1">
      <protection locked="0"/>
    </xf>
    <xf numFmtId="0" fontId="41" fillId="0" borderId="0" xfId="5" applyFont="1" applyFill="1" applyProtection="1"/>
    <xf numFmtId="164" fontId="47" fillId="0" borderId="0" xfId="4" applyNumberFormat="1" applyFont="1" applyFill="1" applyProtection="1"/>
    <xf numFmtId="0" fontId="5" fillId="0" borderId="0" xfId="0" applyFont="1" applyFill="1" applyProtection="1"/>
    <xf numFmtId="0" fontId="5" fillId="0" borderId="0" xfId="0" applyFont="1" applyFill="1"/>
    <xf numFmtId="49" fontId="5" fillId="0" borderId="28" xfId="0" applyNumberFormat="1" applyFont="1" applyFill="1" applyBorder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3" fontId="5" fillId="0" borderId="29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 applyProtection="1">
      <alignment vertical="center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" fontId="5" fillId="0" borderId="17" xfId="0" applyNumberFormat="1" applyFont="1" applyFill="1" applyBorder="1" applyAlignment="1" applyProtection="1">
      <alignment vertical="center"/>
    </xf>
    <xf numFmtId="49" fontId="5" fillId="0" borderId="22" xfId="0" applyNumberFormat="1" applyFont="1" applyFill="1" applyBorder="1" applyAlignment="1" applyProtection="1">
      <alignment vertical="center"/>
      <protection locked="0"/>
    </xf>
    <xf numFmtId="3" fontId="5" fillId="0" borderId="23" xfId="0" applyNumberFormat="1" applyFont="1" applyFill="1" applyBorder="1" applyAlignment="1" applyProtection="1">
      <alignment vertical="center"/>
      <protection locked="0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49" fontId="5" fillId="0" borderId="21" xfId="0" applyNumberFormat="1" applyFont="1" applyFill="1" applyBorder="1" applyAlignment="1" applyProtection="1">
      <alignment horizontal="left" vertical="center"/>
    </xf>
    <xf numFmtId="49" fontId="5" fillId="0" borderId="2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/>
    <xf numFmtId="164" fontId="0" fillId="0" borderId="37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right" vertical="top"/>
    </xf>
    <xf numFmtId="164" fontId="9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0" fontId="18" fillId="0" borderId="2" xfId="4" applyFont="1" applyBorder="1" applyAlignment="1">
      <alignment horizontal="left" vertical="center" wrapText="1" indent="1"/>
    </xf>
    <xf numFmtId="49" fontId="6" fillId="0" borderId="21" xfId="0" applyNumberFormat="1" applyFont="1" applyBorder="1" applyAlignment="1">
      <alignment horizontal="center" vertical="center" wrapText="1"/>
    </xf>
    <xf numFmtId="0" fontId="18" fillId="0" borderId="11" xfId="4" applyFont="1" applyBorder="1" applyAlignment="1">
      <alignment horizontal="left" vertical="center" wrapText="1" indent="1"/>
    </xf>
    <xf numFmtId="0" fontId="18" fillId="0" borderId="12" xfId="4" applyFont="1" applyBorder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8" fillId="0" borderId="13" xfId="4" applyFont="1" applyBorder="1" applyAlignment="1">
      <alignment horizontal="left" vertical="center" wrapText="1" indent="1"/>
    </xf>
    <xf numFmtId="0" fontId="16" fillId="0" borderId="6" xfId="0" applyFont="1" applyBorder="1" applyAlignment="1">
      <alignment horizontal="center" vertical="center" wrapText="1"/>
    </xf>
    <xf numFmtId="0" fontId="16" fillId="0" borderId="7" xfId="4" applyFont="1" applyBorder="1" applyAlignment="1">
      <alignment horizontal="left" vertical="center" wrapText="1" inden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 indent="1"/>
    </xf>
    <xf numFmtId="0" fontId="6" fillId="0" borderId="11" xfId="4" applyFont="1" applyBorder="1" applyAlignment="1">
      <alignment horizontal="left" vertical="center" wrapText="1" indent="1"/>
    </xf>
    <xf numFmtId="0" fontId="6" fillId="0" borderId="26" xfId="4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wrapText="1" indent="1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1" fillId="0" borderId="7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vertical="center" wrapText="1"/>
    </xf>
    <xf numFmtId="0" fontId="5" fillId="0" borderId="0" xfId="4" applyFont="1" applyFill="1"/>
    <xf numFmtId="164" fontId="0" fillId="0" borderId="0" xfId="0" applyNumberFormat="1" applyFont="1" applyFill="1" applyAlignment="1">
      <alignment vertical="center" wrapText="1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0" fillId="0" borderId="5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0" fillId="0" borderId="46" xfId="0" applyNumberFormat="1" applyFont="1" applyFill="1" applyBorder="1" applyAlignment="1" applyProtection="1">
      <alignment horizontal="left" vertical="center" wrapText="1" indent="1"/>
    </xf>
    <xf numFmtId="164" fontId="0" fillId="0" borderId="44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ont="1" applyFill="1" applyBorder="1" applyAlignment="1" applyProtection="1">
      <alignment horizontal="left" vertical="center" wrapText="1" indent="1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/>
    <xf numFmtId="0" fontId="45" fillId="0" borderId="0" xfId="0" applyFont="1" applyFill="1" applyBorder="1" applyAlignment="1"/>
    <xf numFmtId="0" fontId="46" fillId="0" borderId="0" xfId="0" applyFont="1" applyFill="1" applyBorder="1" applyAlignment="1">
      <alignment vertical="center"/>
    </xf>
    <xf numFmtId="0" fontId="45" fillId="0" borderId="11" xfId="0" applyFont="1" applyFill="1" applyBorder="1" applyAlignment="1" applyProtection="1">
      <alignment horizontal="left" vertical="center" wrapText="1"/>
      <protection locked="0"/>
    </xf>
    <xf numFmtId="0" fontId="45" fillId="0" borderId="11" xfId="0" applyFont="1" applyFill="1" applyBorder="1" applyAlignment="1" applyProtection="1">
      <alignment horizontal="right" vertical="center" wrapText="1"/>
      <protection locked="0"/>
    </xf>
    <xf numFmtId="0" fontId="41" fillId="0" borderId="11" xfId="0" applyFont="1" applyFill="1" applyBorder="1" applyAlignment="1" applyProtection="1">
      <alignment horizontal="center" vertical="center" wrapText="1"/>
      <protection locked="0"/>
    </xf>
    <xf numFmtId="0" fontId="45" fillId="0" borderId="11" xfId="0" applyFont="1" applyFill="1" applyBorder="1" applyAlignment="1" applyProtection="1">
      <alignment vertical="center" wrapText="1"/>
      <protection locked="0"/>
    </xf>
    <xf numFmtId="164" fontId="4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0" applyFont="1" applyFill="1" applyBorder="1" applyAlignment="1" applyProtection="1">
      <alignment vertical="center"/>
    </xf>
    <xf numFmtId="0" fontId="41" fillId="0" borderId="11" xfId="0" applyFont="1" applyFill="1" applyBorder="1" applyAlignment="1" applyProtection="1">
      <alignment vertical="center" wrapText="1"/>
    </xf>
    <xf numFmtId="0" fontId="2" fillId="0" borderId="0" xfId="4" applyFont="1" applyFill="1" applyAlignment="1" applyProtection="1">
      <alignment horizontal="right" vertical="center" indent="1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4" applyNumberFormat="1" applyFont="1" applyFill="1" applyBorder="1" applyAlignment="1" applyProtection="1">
      <alignment horizontal="right" vertical="center" wrapText="1" indent="1"/>
    </xf>
    <xf numFmtId="164" fontId="18" fillId="0" borderId="13" xfId="4" applyNumberFormat="1" applyFont="1" applyFill="1" applyBorder="1" applyAlignment="1" applyProtection="1">
      <alignment horizontal="right" vertical="center" wrapText="1" indent="1"/>
    </xf>
    <xf numFmtId="164" fontId="18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1" xfId="4" applyNumberFormat="1" applyFont="1" applyFill="1" applyBorder="1" applyAlignment="1" applyProtection="1">
      <alignment horizontal="right" vertical="center" wrapText="1" indent="1"/>
    </xf>
    <xf numFmtId="164" fontId="16" fillId="0" borderId="26" xfId="4" applyNumberFormat="1" applyFont="1" applyFill="1" applyBorder="1" applyAlignment="1" applyProtection="1">
      <alignment horizontal="right" vertical="center" wrapText="1" indent="1"/>
    </xf>
    <xf numFmtId="164" fontId="18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</xf>
    <xf numFmtId="164" fontId="21" fillId="0" borderId="7" xfId="0" quotePrefix="1" applyNumberFormat="1" applyFont="1" applyBorder="1" applyAlignment="1" applyProtection="1">
      <alignment horizontal="right" vertical="center" wrapText="1" indent="1"/>
      <protection locked="0"/>
    </xf>
    <xf numFmtId="164" fontId="21" fillId="0" borderId="7" xfId="0" quotePrefix="1" applyNumberFormat="1" applyFont="1" applyBorder="1" applyAlignment="1" applyProtection="1">
      <alignment horizontal="right" vertical="center" wrapText="1" indent="1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3" fontId="2" fillId="0" borderId="14" xfId="0" applyNumberFormat="1" applyFont="1" applyBorder="1" applyAlignment="1" applyProtection="1">
      <alignment horizontal="right" vertical="center" indent="1"/>
      <protection locked="0"/>
    </xf>
    <xf numFmtId="0" fontId="7" fillId="0" borderId="27" xfId="0" applyFont="1" applyBorder="1" applyAlignment="1" applyProtection="1">
      <alignment horizontal="center" vertical="center" wrapText="1"/>
    </xf>
    <xf numFmtId="3" fontId="8" fillId="0" borderId="18" xfId="0" applyNumberFormat="1" applyFont="1" applyBorder="1" applyAlignment="1">
      <alignment vertical="center"/>
    </xf>
    <xf numFmtId="0" fontId="42" fillId="0" borderId="0" xfId="0" applyFont="1" applyFill="1" applyBorder="1" applyAlignment="1" applyProtection="1">
      <alignment horizontal="right"/>
    </xf>
    <xf numFmtId="164" fontId="41" fillId="0" borderId="11" xfId="0" applyNumberFormat="1" applyFont="1" applyFill="1" applyBorder="1" applyAlignment="1" applyProtection="1">
      <alignment horizontal="right" vertical="center" wrapText="1"/>
    </xf>
    <xf numFmtId="164" fontId="45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46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45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41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45" fillId="0" borderId="11" xfId="0" applyNumberFormat="1" applyFont="1" applyFill="1" applyBorder="1" applyAlignment="1" applyProtection="1">
      <alignment vertical="center" wrapText="1"/>
      <protection locked="0"/>
    </xf>
    <xf numFmtId="3" fontId="45" fillId="0" borderId="11" xfId="0" applyNumberFormat="1" applyFont="1" applyFill="1" applyBorder="1"/>
    <xf numFmtId="3" fontId="41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5" applyFont="1" applyFill="1" applyAlignment="1" applyProtection="1">
      <alignment horizontal="center" wrapText="1"/>
    </xf>
    <xf numFmtId="0" fontId="42" fillId="0" borderId="0" xfId="0" applyFont="1" applyFill="1" applyAlignment="1">
      <alignment horizontal="right"/>
    </xf>
    <xf numFmtId="0" fontId="41" fillId="0" borderId="19" xfId="5" applyFont="1" applyFill="1" applyBorder="1" applyAlignment="1" applyProtection="1">
      <alignment horizontal="center" vertical="center" wrapText="1"/>
    </xf>
    <xf numFmtId="0" fontId="41" fillId="0" borderId="5" xfId="5" applyFont="1" applyFill="1" applyBorder="1" applyAlignment="1" applyProtection="1">
      <alignment horizontal="center" vertical="center"/>
    </xf>
    <xf numFmtId="0" fontId="41" fillId="0" borderId="27" xfId="5" applyFont="1" applyFill="1" applyBorder="1" applyAlignment="1" applyProtection="1">
      <alignment horizontal="center" vertical="center"/>
    </xf>
    <xf numFmtId="0" fontId="41" fillId="0" borderId="6" xfId="5" applyFont="1" applyFill="1" applyBorder="1" applyAlignment="1" applyProtection="1">
      <alignment horizontal="left" vertical="center" indent="1"/>
    </xf>
    <xf numFmtId="0" fontId="41" fillId="0" borderId="0" xfId="5" applyFont="1" applyFill="1" applyAlignment="1" applyProtection="1">
      <alignment vertical="center"/>
    </xf>
    <xf numFmtId="0" fontId="45" fillId="0" borderId="21" xfId="5" applyFont="1" applyFill="1" applyBorder="1" applyAlignment="1" applyProtection="1">
      <alignment horizontal="left" vertical="center" indent="1"/>
    </xf>
    <xf numFmtId="0" fontId="45" fillId="0" borderId="11" xfId="5" applyFont="1" applyFill="1" applyBorder="1" applyAlignment="1" applyProtection="1">
      <alignment horizontal="left" vertical="center" indent="1"/>
    </xf>
    <xf numFmtId="164" fontId="45" fillId="0" borderId="11" xfId="5" applyNumberFormat="1" applyFont="1" applyFill="1" applyBorder="1" applyAlignment="1" applyProtection="1">
      <alignment vertical="center"/>
      <protection locked="0"/>
    </xf>
    <xf numFmtId="164" fontId="41" fillId="0" borderId="17" xfId="5" applyNumberFormat="1" applyFont="1" applyFill="1" applyBorder="1" applyAlignment="1" applyProtection="1">
      <alignment vertical="center"/>
    </xf>
    <xf numFmtId="0" fontId="45" fillId="0" borderId="0" xfId="5" applyFont="1" applyFill="1" applyAlignment="1" applyProtection="1">
      <alignment vertical="center"/>
      <protection locked="0"/>
    </xf>
    <xf numFmtId="0" fontId="45" fillId="0" borderId="6" xfId="5" applyFont="1" applyFill="1" applyBorder="1" applyAlignment="1" applyProtection="1">
      <alignment horizontal="left" vertical="center" indent="1"/>
    </xf>
    <xf numFmtId="0" fontId="41" fillId="0" borderId="7" xfId="5" applyFont="1" applyFill="1" applyBorder="1" applyAlignment="1" applyProtection="1">
      <alignment horizontal="left" vertical="center" indent="1"/>
    </xf>
    <xf numFmtId="164" fontId="41" fillId="0" borderId="7" xfId="5" applyNumberFormat="1" applyFont="1" applyFill="1" applyBorder="1" applyAlignment="1" applyProtection="1">
      <alignment vertical="center"/>
    </xf>
    <xf numFmtId="164" fontId="41" fillId="0" borderId="8" xfId="5" applyNumberFormat="1" applyFont="1" applyFill="1" applyBorder="1" applyAlignment="1" applyProtection="1">
      <alignment vertical="center"/>
    </xf>
    <xf numFmtId="0" fontId="45" fillId="0" borderId="0" xfId="5" applyFont="1" applyFill="1" applyAlignment="1" applyProtection="1">
      <alignment vertical="center"/>
    </xf>
    <xf numFmtId="0" fontId="45" fillId="0" borderId="51" xfId="5" applyFont="1" applyFill="1" applyBorder="1" applyAlignment="1" applyProtection="1">
      <alignment horizontal="left" vertical="center" indent="1"/>
    </xf>
    <xf numFmtId="0" fontId="41" fillId="0" borderId="51" xfId="5" applyFont="1" applyFill="1" applyBorder="1" applyAlignment="1" applyProtection="1">
      <alignment horizontal="left" vertical="center" indent="1"/>
    </xf>
    <xf numFmtId="164" fontId="41" fillId="0" borderId="51" xfId="5" applyNumberFormat="1" applyFont="1" applyFill="1" applyBorder="1" applyAlignment="1" applyProtection="1">
      <alignment vertical="center"/>
    </xf>
    <xf numFmtId="0" fontId="45" fillId="0" borderId="0" xfId="5" applyFont="1" applyFill="1" applyBorder="1" applyAlignment="1" applyProtection="1">
      <alignment horizontal="left" vertical="center" indent="1"/>
    </xf>
    <xf numFmtId="0" fontId="41" fillId="0" borderId="0" xfId="5" applyFont="1" applyFill="1" applyBorder="1" applyAlignment="1" applyProtection="1">
      <alignment horizontal="left" vertical="center" indent="1"/>
    </xf>
    <xf numFmtId="164" fontId="41" fillId="0" borderId="0" xfId="5" applyNumberFormat="1" applyFont="1" applyFill="1" applyBorder="1" applyAlignment="1" applyProtection="1">
      <alignment vertical="center"/>
    </xf>
    <xf numFmtId="0" fontId="45" fillId="0" borderId="0" xfId="5" applyFont="1" applyFill="1" applyBorder="1" applyAlignment="1" applyProtection="1">
      <alignment vertical="center"/>
    </xf>
    <xf numFmtId="0" fontId="41" fillId="0" borderId="25" xfId="5" applyFont="1" applyFill="1" applyBorder="1" applyAlignment="1" applyProtection="1">
      <alignment horizontal="left" vertical="center" indent="1"/>
    </xf>
    <xf numFmtId="0" fontId="45" fillId="0" borderId="53" xfId="5" applyFont="1" applyFill="1" applyBorder="1" applyAlignment="1" applyProtection="1">
      <alignment horizontal="left" vertical="center" indent="1"/>
    </xf>
    <xf numFmtId="0" fontId="41" fillId="0" borderId="16" xfId="5" applyFont="1" applyFill="1" applyBorder="1" applyAlignment="1" applyProtection="1">
      <alignment horizontal="left" vertical="center" indent="1"/>
    </xf>
    <xf numFmtId="164" fontId="41" fillId="0" borderId="16" xfId="5" applyNumberFormat="1" applyFont="1" applyFill="1" applyBorder="1" applyAlignment="1" applyProtection="1">
      <alignment vertical="center"/>
    </xf>
    <xf numFmtId="0" fontId="13" fillId="0" borderId="54" xfId="0" applyFont="1" applyFill="1" applyBorder="1" applyAlignment="1" applyProtection="1">
      <alignment horizontal="right" vertical="center"/>
    </xf>
    <xf numFmtId="164" fontId="35" fillId="0" borderId="7" xfId="0" applyNumberFormat="1" applyFont="1" applyFill="1" applyBorder="1" applyAlignment="1" applyProtection="1">
      <alignment horizontal="center" vertical="center" wrapText="1"/>
    </xf>
    <xf numFmtId="0" fontId="14" fillId="0" borderId="55" xfId="4" applyFont="1" applyFill="1" applyBorder="1" applyAlignment="1" applyProtection="1">
      <alignment horizontal="center" vertical="center" wrapText="1"/>
    </xf>
    <xf numFmtId="164" fontId="14" fillId="0" borderId="8" xfId="4" applyNumberFormat="1" applyFont="1" applyFill="1" applyBorder="1" applyAlignment="1" applyProtection="1">
      <alignment horizontal="right" vertical="center" wrapText="1"/>
    </xf>
    <xf numFmtId="164" fontId="24" fillId="0" borderId="14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7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24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4" xfId="4" applyNumberFormat="1" applyFont="1" applyFill="1" applyBorder="1" applyAlignment="1" applyProtection="1">
      <alignment horizontal="right" vertical="center" wrapText="1"/>
    </xf>
    <xf numFmtId="164" fontId="14" fillId="0" borderId="8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7" xfId="4" applyNumberFormat="1" applyFont="1" applyFill="1" applyBorder="1" applyAlignment="1" applyProtection="1">
      <alignment horizontal="right" vertical="center" wrapText="1"/>
    </xf>
    <xf numFmtId="164" fontId="14" fillId="0" borderId="27" xfId="4" applyNumberFormat="1" applyFont="1" applyFill="1" applyBorder="1" applyAlignment="1" applyProtection="1">
      <alignment horizontal="right" vertical="center" wrapText="1" indent="1"/>
    </xf>
    <xf numFmtId="164" fontId="24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4" applyNumberFormat="1" applyFont="1" applyFill="1" applyBorder="1" applyAlignment="1" applyProtection="1">
      <alignment horizontal="right" vertical="center" wrapText="1" indent="1"/>
    </xf>
    <xf numFmtId="164" fontId="24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4" applyNumberFormat="1" applyFont="1" applyFill="1" applyBorder="1" applyAlignment="1" applyProtection="1">
      <alignment horizontal="right" vertical="center" wrapText="1" indent="1"/>
    </xf>
    <xf numFmtId="164" fontId="35" fillId="0" borderId="8" xfId="4" applyNumberFormat="1" applyFont="1" applyFill="1" applyBorder="1" applyAlignment="1" applyProtection="1">
      <alignment horizontal="right" vertical="center" wrapText="1" indent="1"/>
    </xf>
    <xf numFmtId="164" fontId="38" fillId="0" borderId="8" xfId="0" applyNumberFormat="1" applyFont="1" applyBorder="1" applyAlignment="1" applyProtection="1">
      <alignment horizontal="right" vertical="center" wrapText="1" indent="1"/>
    </xf>
    <xf numFmtId="164" fontId="38" fillId="0" borderId="8" xfId="0" applyNumberFormat="1" applyFont="1" applyBorder="1" applyAlignment="1" applyProtection="1">
      <alignment horizontal="right" vertical="center" wrapText="1" indent="1"/>
      <protection locked="0"/>
    </xf>
    <xf numFmtId="164" fontId="38" fillId="0" borderId="8" xfId="0" quotePrefix="1" applyNumberFormat="1" applyFont="1" applyBorder="1" applyAlignment="1" applyProtection="1">
      <alignment horizontal="right" vertical="center" wrapText="1" indent="1"/>
    </xf>
    <xf numFmtId="164" fontId="38" fillId="0" borderId="7" xfId="0" quotePrefix="1" applyNumberFormat="1" applyFont="1" applyBorder="1" applyAlignment="1" applyProtection="1">
      <alignment horizontal="right" vertical="center" wrapText="1" indent="1"/>
    </xf>
    <xf numFmtId="164" fontId="5" fillId="0" borderId="0" xfId="4" applyNumberFormat="1" applyFont="1" applyFill="1"/>
    <xf numFmtId="49" fontId="11" fillId="0" borderId="29" xfId="0" applyNumberFormat="1" applyFont="1" applyBorder="1" applyAlignment="1">
      <alignment horizontal="right" vertical="center"/>
    </xf>
    <xf numFmtId="49" fontId="11" fillId="0" borderId="36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0" fillId="0" borderId="0" xfId="0" applyFont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right" vertical="center" wrapText="1" indent="1"/>
    </xf>
    <xf numFmtId="164" fontId="18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5" xfId="0" applyNumberFormat="1" applyFont="1" applyBorder="1" applyAlignment="1">
      <alignment horizontal="right" vertical="center" wrapText="1" indent="1"/>
    </xf>
    <xf numFmtId="164" fontId="15" fillId="0" borderId="55" xfId="0" applyNumberFormat="1" applyFont="1" applyBorder="1" applyAlignment="1">
      <alignment horizontal="right" vertical="center" wrapText="1" indent="1"/>
    </xf>
    <xf numFmtId="164" fontId="15" fillId="0" borderId="0" xfId="0" applyNumberFormat="1" applyFont="1" applyAlignment="1">
      <alignment horizontal="right" vertical="center" wrapText="1" indent="1"/>
    </xf>
    <xf numFmtId="0" fontId="18" fillId="0" borderId="0" xfId="0" applyFont="1" applyAlignment="1">
      <alignment horizontal="right" vertical="center" wrapText="1" indent="1"/>
    </xf>
    <xf numFmtId="164" fontId="6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Border="1" applyAlignment="1">
      <alignment horizontal="right" vertical="center" wrapText="1" inden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 indent="1"/>
    </xf>
    <xf numFmtId="3" fontId="14" fillId="0" borderId="8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0" xfId="0" applyNumberFormat="1" applyFont="1" applyFill="1" applyAlignment="1" applyProtection="1">
      <alignment horizontal="left" vertical="center" wrapText="1"/>
    </xf>
    <xf numFmtId="0" fontId="48" fillId="0" borderId="0" xfId="0" applyFont="1" applyAlignment="1" applyProtection="1">
      <alignment horizontal="right" vertical="top"/>
      <protection locked="0"/>
    </xf>
    <xf numFmtId="164" fontId="24" fillId="0" borderId="0" xfId="0" applyNumberFormat="1" applyFont="1" applyFill="1" applyAlignment="1">
      <alignment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35" xfId="0" applyFont="1" applyFill="1" applyBorder="1" applyAlignment="1" applyProtection="1">
      <alignment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0" fillId="0" borderId="0" xfId="4" applyFont="1" applyFill="1" applyProtection="1"/>
    <xf numFmtId="0" fontId="14" fillId="0" borderId="19" xfId="4" applyFont="1" applyFill="1" applyBorder="1" applyAlignment="1" applyProtection="1">
      <alignment horizontal="center" vertical="center" wrapText="1"/>
    </xf>
    <xf numFmtId="0" fontId="14" fillId="0" borderId="5" xfId="4" applyFont="1" applyFill="1" applyBorder="1" applyAlignment="1" applyProtection="1">
      <alignment horizontal="center" vertical="center" wrapText="1"/>
    </xf>
    <xf numFmtId="0" fontId="38" fillId="0" borderId="25" xfId="0" applyFont="1" applyBorder="1" applyAlignment="1" applyProtection="1">
      <alignment vertical="center" wrapText="1"/>
    </xf>
    <xf numFmtId="0" fontId="14" fillId="0" borderId="0" xfId="4" applyFont="1" applyFill="1" applyBorder="1" applyAlignment="1" applyProtection="1">
      <alignment horizontal="center" vertical="center" wrapText="1"/>
    </xf>
    <xf numFmtId="0" fontId="14" fillId="0" borderId="0" xfId="4" applyFont="1" applyFill="1" applyBorder="1" applyAlignment="1" applyProtection="1">
      <alignment vertical="center" wrapText="1"/>
    </xf>
    <xf numFmtId="0" fontId="0" fillId="0" borderId="0" xfId="4" applyFont="1" applyFill="1" applyAlignment="1" applyProtection="1"/>
    <xf numFmtId="0" fontId="24" fillId="0" borderId="11" xfId="4" applyFont="1" applyFill="1" applyBorder="1" applyAlignment="1" applyProtection="1">
      <alignment horizontal="left" vertical="center" wrapText="1" indent="7"/>
    </xf>
    <xf numFmtId="0" fontId="14" fillId="0" borderId="29" xfId="0" quotePrefix="1" applyFont="1" applyFill="1" applyBorder="1" applyAlignment="1" applyProtection="1">
      <alignment horizontal="right" vertical="center" indent="1"/>
    </xf>
    <xf numFmtId="49" fontId="14" fillId="0" borderId="36" xfId="0" applyNumberFormat="1" applyFont="1" applyFill="1" applyBorder="1" applyAlignment="1" applyProtection="1">
      <alignment horizontal="right" vertical="center" indent="1"/>
    </xf>
    <xf numFmtId="0" fontId="14" fillId="0" borderId="27" xfId="0" applyFont="1" applyFill="1" applyBorder="1" applyAlignment="1" applyProtection="1">
      <alignment horizontal="right" vertical="center" wrapText="1" indent="1"/>
    </xf>
    <xf numFmtId="0" fontId="14" fillId="0" borderId="27" xfId="4" applyFont="1" applyFill="1" applyBorder="1" applyAlignment="1" applyProtection="1">
      <alignment horizontal="center" vertical="center" wrapText="1"/>
    </xf>
    <xf numFmtId="164" fontId="24" fillId="0" borderId="14" xfId="4" applyNumberFormat="1" applyFont="1" applyFill="1" applyBorder="1" applyAlignment="1" applyProtection="1">
      <alignment horizontal="right" vertical="center" wrapText="1" indent="1"/>
    </xf>
    <xf numFmtId="164" fontId="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4" applyNumberFormat="1" applyFont="1" applyFill="1" applyBorder="1" applyAlignment="1" applyProtection="1">
      <alignment horizontal="right" vertical="center" wrapText="1" indent="1"/>
    </xf>
    <xf numFmtId="0" fontId="13" fillId="0" borderId="54" xfId="0" applyFont="1" applyFill="1" applyBorder="1" applyAlignment="1" applyProtection="1">
      <alignment horizontal="right"/>
    </xf>
    <xf numFmtId="0" fontId="14" fillId="0" borderId="8" xfId="4" applyFont="1" applyFill="1" applyBorder="1" applyAlignment="1" applyProtection="1">
      <alignment horizontal="center" vertical="center" wrapText="1"/>
    </xf>
    <xf numFmtId="164" fontId="24" fillId="0" borderId="0" xfId="4" applyNumberFormat="1" applyFont="1" applyFill="1" applyProtection="1"/>
    <xf numFmtId="0" fontId="11" fillId="0" borderId="27" xfId="0" applyFont="1" applyFill="1" applyBorder="1" applyAlignment="1" applyProtection="1">
      <alignment horizontal="right" vertical="center" wrapText="1" indent="1"/>
    </xf>
    <xf numFmtId="0" fontId="15" fillId="0" borderId="27" xfId="4" applyFont="1" applyFill="1" applyBorder="1" applyAlignment="1" applyProtection="1">
      <alignment horizontal="center" vertical="center" wrapText="1"/>
    </xf>
    <xf numFmtId="164" fontId="12" fillId="0" borderId="0" xfId="4" applyNumberFormat="1" applyFont="1" applyFill="1" applyBorder="1" applyAlignment="1" applyProtection="1">
      <alignment horizontal="right" vertical="center" wrapText="1" indent="1"/>
    </xf>
    <xf numFmtId="0" fontId="15" fillId="0" borderId="8" xfId="4" applyFont="1" applyFill="1" applyBorder="1" applyAlignment="1" applyProtection="1">
      <alignment horizontal="center" vertical="center" wrapText="1"/>
    </xf>
    <xf numFmtId="164" fontId="15" fillId="0" borderId="50" xfId="4" applyNumberFormat="1" applyFont="1" applyFill="1" applyBorder="1" applyAlignment="1" applyProtection="1">
      <alignment horizontal="right" vertical="center" wrapText="1" indent="1"/>
    </xf>
    <xf numFmtId="164" fontId="20" fillId="0" borderId="8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1" xfId="4" applyNumberFormat="1" applyFont="1" applyFill="1" applyBorder="1" applyAlignment="1" applyProtection="1">
      <alignment horizontal="right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7" xfId="4" applyFont="1" applyFill="1" applyBorder="1" applyAlignment="1" applyProtection="1">
      <alignment vertical="center" wrapText="1"/>
    </xf>
    <xf numFmtId="164" fontId="38" fillId="0" borderId="51" xfId="0" quotePrefix="1" applyNumberFormat="1" applyFont="1" applyBorder="1" applyAlignment="1" applyProtection="1">
      <alignment horizontal="right" vertical="center" wrapText="1" indent="1"/>
    </xf>
    <xf numFmtId="0" fontId="14" fillId="0" borderId="8" xfId="0" applyFont="1" applyFill="1" applyBorder="1" applyAlignment="1" applyProtection="1">
      <alignment horizontal="center" vertical="center" wrapText="1"/>
    </xf>
    <xf numFmtId="164" fontId="14" fillId="0" borderId="34" xfId="0" applyNumberFormat="1" applyFont="1" applyFill="1" applyBorder="1" applyAlignment="1" applyProtection="1">
      <alignment horizontal="right" vertical="center" wrapText="1" indent="1"/>
    </xf>
    <xf numFmtId="3" fontId="1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vertical="center" wrapText="1"/>
      <protection locked="0"/>
    </xf>
    <xf numFmtId="49" fontId="33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7" xfId="0" applyNumberFormat="1" applyFont="1" applyFill="1" applyBorder="1" applyAlignment="1" applyProtection="1">
      <alignment vertical="center" wrapText="1"/>
    </xf>
    <xf numFmtId="164" fontId="0" fillId="0" borderId="56" xfId="0" applyNumberFormat="1" applyFont="1" applyFill="1" applyBorder="1" applyAlignment="1" applyProtection="1">
      <alignment vertical="center" wrapText="1"/>
      <protection locked="0"/>
    </xf>
    <xf numFmtId="164" fontId="34" fillId="0" borderId="0" xfId="0" applyNumberFormat="1" applyFont="1" applyFill="1" applyAlignment="1" applyProtection="1">
      <alignment horizontal="right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35" fillId="0" borderId="8" xfId="0" applyNumberFormat="1" applyFont="1" applyFill="1" applyBorder="1" applyAlignment="1" applyProtection="1">
      <alignment horizontal="center" vertical="center" wrapText="1"/>
    </xf>
    <xf numFmtId="164" fontId="35" fillId="0" borderId="42" xfId="0" applyNumberFormat="1" applyFont="1" applyFill="1" applyBorder="1" applyAlignment="1" applyProtection="1">
      <alignment horizontal="center" vertical="center" wrapText="1"/>
    </xf>
    <xf numFmtId="164" fontId="34" fillId="0" borderId="4" xfId="0" applyNumberFormat="1" applyFont="1" applyFill="1" applyBorder="1" applyAlignment="1" applyProtection="1">
      <alignment horizontal="center" vertical="center" wrapText="1"/>
    </xf>
    <xf numFmtId="164" fontId="34" fillId="0" borderId="7" xfId="0" applyNumberFormat="1" applyFont="1" applyFill="1" applyBorder="1" applyAlignment="1" applyProtection="1">
      <alignment horizontal="center" vertical="center" wrapText="1"/>
    </xf>
    <xf numFmtId="164" fontId="35" fillId="0" borderId="26" xfId="0" applyNumberFormat="1" applyFont="1" applyFill="1" applyBorder="1" applyAlignment="1" applyProtection="1">
      <alignment horizontal="center" vertical="center" wrapText="1"/>
    </xf>
    <xf numFmtId="164" fontId="35" fillId="0" borderId="50" xfId="0" applyNumberFormat="1" applyFont="1" applyFill="1" applyBorder="1" applyAlignment="1" applyProtection="1">
      <alignment horizontal="center" vertical="center" wrapText="1"/>
    </xf>
    <xf numFmtId="164" fontId="35" fillId="0" borderId="57" xfId="0" applyNumberFormat="1" applyFont="1" applyFill="1" applyBorder="1" applyAlignment="1" applyProtection="1">
      <alignment horizontal="center" vertical="center" wrapText="1"/>
    </xf>
    <xf numFmtId="164" fontId="35" fillId="0" borderId="58" xfId="0" applyNumberFormat="1" applyFont="1" applyFill="1" applyBorder="1" applyAlignment="1" applyProtection="1">
      <alignment horizontal="center" vertical="center" wrapText="1"/>
    </xf>
    <xf numFmtId="164" fontId="33" fillId="0" borderId="56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</xf>
    <xf numFmtId="164" fontId="0" fillId="0" borderId="23" xfId="0" applyNumberFormat="1" applyFont="1" applyFill="1" applyBorder="1" applyAlignment="1" applyProtection="1">
      <alignment vertical="center" wrapText="1"/>
      <protection locked="0"/>
    </xf>
    <xf numFmtId="164" fontId="0" fillId="0" borderId="24" xfId="0" applyNumberFormat="1" applyFont="1" applyFill="1" applyBorder="1" applyAlignment="1" applyProtection="1">
      <alignment vertical="center" wrapText="1"/>
    </xf>
    <xf numFmtId="164" fontId="34" fillId="0" borderId="56" xfId="0" applyNumberFormat="1" applyFont="1" applyFill="1" applyBorder="1" applyAlignment="1" applyProtection="1">
      <alignment vertical="center" wrapText="1"/>
      <protection locked="0"/>
    </xf>
    <xf numFmtId="164" fontId="35" fillId="0" borderId="7" xfId="0" applyNumberFormat="1" applyFont="1" applyFill="1" applyBorder="1" applyAlignment="1" applyProtection="1">
      <alignment vertical="center" wrapText="1"/>
    </xf>
    <xf numFmtId="172" fontId="14" fillId="0" borderId="23" xfId="4" applyNumberFormat="1" applyFont="1" applyFill="1" applyBorder="1" applyAlignment="1">
      <alignment horizontal="center" vertical="center" wrapText="1"/>
    </xf>
    <xf numFmtId="0" fontId="24" fillId="0" borderId="8" xfId="4" applyFont="1" applyFill="1" applyBorder="1" applyAlignment="1">
      <alignment horizontal="center" vertical="center"/>
    </xf>
    <xf numFmtId="166" fontId="24" fillId="0" borderId="13" xfId="1" applyNumberFormat="1" applyFont="1" applyFill="1" applyBorder="1" applyProtection="1">
      <protection locked="0"/>
    </xf>
    <xf numFmtId="166" fontId="24" fillId="0" borderId="14" xfId="1" applyNumberFormat="1" applyFont="1" applyFill="1" applyBorder="1"/>
    <xf numFmtId="166" fontId="24" fillId="0" borderId="11" xfId="1" applyNumberFormat="1" applyFont="1" applyFill="1" applyBorder="1" applyProtection="1">
      <protection locked="0"/>
    </xf>
    <xf numFmtId="166" fontId="24" fillId="0" borderId="17" xfId="1" applyNumberFormat="1" applyFont="1" applyFill="1" applyBorder="1"/>
    <xf numFmtId="166" fontId="24" fillId="0" borderId="23" xfId="1" applyNumberFormat="1" applyFont="1" applyFill="1" applyBorder="1" applyProtection="1">
      <protection locked="0"/>
    </xf>
    <xf numFmtId="166" fontId="14" fillId="0" borderId="7" xfId="4" applyNumberFormat="1" applyFont="1" applyFill="1" applyBorder="1"/>
    <xf numFmtId="166" fontId="14" fillId="0" borderId="8" xfId="4" applyNumberFormat="1" applyFont="1" applyFill="1" applyBorder="1"/>
    <xf numFmtId="0" fontId="40" fillId="0" borderId="0" xfId="4" applyFont="1" applyFill="1"/>
    <xf numFmtId="0" fontId="50" fillId="0" borderId="0" xfId="0" applyFont="1" applyFill="1" applyBorder="1" applyAlignment="1" applyProtection="1">
      <alignment horizontal="right"/>
    </xf>
    <xf numFmtId="0" fontId="11" fillId="0" borderId="8" xfId="4" applyFont="1" applyFill="1" applyBorder="1" applyAlignment="1" applyProtection="1">
      <alignment horizontal="center" vertical="center" wrapText="1"/>
    </xf>
    <xf numFmtId="0" fontId="6" fillId="0" borderId="8" xfId="4" applyFont="1" applyFill="1" applyBorder="1" applyAlignment="1" applyProtection="1">
      <alignment horizontal="center" vertical="center"/>
    </xf>
    <xf numFmtId="166" fontId="6" fillId="0" borderId="59" xfId="1" applyNumberFormat="1" applyFont="1" applyFill="1" applyBorder="1" applyProtection="1">
      <protection locked="0"/>
    </xf>
    <xf numFmtId="166" fontId="6" fillId="0" borderId="33" xfId="1" applyNumberFormat="1" applyFont="1" applyFill="1" applyBorder="1" applyProtection="1">
      <protection locked="0"/>
    </xf>
    <xf numFmtId="166" fontId="6" fillId="0" borderId="34" xfId="1" applyNumberFormat="1" applyFont="1" applyFill="1" applyBorder="1" applyProtection="1">
      <protection locked="0"/>
    </xf>
    <xf numFmtId="166" fontId="16" fillId="0" borderId="8" xfId="1" applyNumberFormat="1" applyFont="1" applyFill="1" applyBorder="1" applyProtection="1"/>
    <xf numFmtId="3" fontId="2" fillId="0" borderId="11" xfId="0" applyNumberFormat="1" applyFont="1" applyFill="1" applyBorder="1" applyAlignment="1" applyProtection="1">
      <alignment vertical="center" wrapText="1"/>
      <protection locked="0"/>
    </xf>
    <xf numFmtId="3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6" xfId="0" applyNumberFormat="1" applyFont="1" applyFill="1" applyBorder="1" applyAlignment="1" applyProtection="1">
      <alignment vertical="center" wrapText="1"/>
    </xf>
    <xf numFmtId="3" fontId="7" fillId="0" borderId="56" xfId="0" applyNumberFormat="1" applyFont="1" applyFill="1" applyBorder="1" applyAlignment="1" applyProtection="1">
      <alignment vertical="center" wrapText="1"/>
      <protection locked="0"/>
    </xf>
    <xf numFmtId="3" fontId="2" fillId="0" borderId="56" xfId="0" applyNumberFormat="1" applyFont="1" applyFill="1" applyBorder="1" applyAlignment="1" applyProtection="1">
      <alignment vertical="center" wrapText="1"/>
      <protection locked="0"/>
    </xf>
    <xf numFmtId="3" fontId="2" fillId="0" borderId="17" xfId="0" applyNumberFormat="1" applyFont="1" applyFill="1" applyBorder="1" applyAlignment="1" applyProtection="1">
      <alignment vertical="center" wrapText="1"/>
    </xf>
    <xf numFmtId="3" fontId="8" fillId="0" borderId="11" xfId="0" applyNumberFormat="1" applyFont="1" applyFill="1" applyBorder="1" applyAlignment="1" applyProtection="1">
      <alignment vertical="center" wrapText="1"/>
      <protection locked="0"/>
    </xf>
    <xf numFmtId="3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7" xfId="0" applyNumberFormat="1" applyFont="1" applyFill="1" applyBorder="1" applyAlignment="1" applyProtection="1">
      <alignment vertical="center" wrapText="1"/>
    </xf>
    <xf numFmtId="3" fontId="8" fillId="0" borderId="56" xfId="0" applyNumberFormat="1" applyFont="1" applyFill="1" applyBorder="1" applyAlignment="1" applyProtection="1">
      <alignment vertical="center" wrapText="1"/>
      <protection locked="0"/>
    </xf>
    <xf numFmtId="164" fontId="0" fillId="0" borderId="26" xfId="0" applyNumberFormat="1" applyFont="1" applyFill="1" applyBorder="1" applyAlignment="1" applyProtection="1">
      <alignment horizontal="center" vertical="center" wrapText="1"/>
    </xf>
    <xf numFmtId="3" fontId="28" fillId="0" borderId="11" xfId="0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Alignment="1" applyProtection="1">
      <alignment horizontal="right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</xf>
    <xf numFmtId="3" fontId="7" fillId="0" borderId="42" xfId="0" applyNumberFormat="1" applyFont="1" applyFill="1" applyBorder="1" applyAlignment="1" applyProtection="1">
      <alignment horizontal="center" vertical="center" wrapText="1"/>
    </xf>
    <xf numFmtId="3" fontId="8" fillId="0" borderId="4" xfId="0" applyNumberFormat="1" applyFont="1" applyFill="1" applyBorder="1" applyAlignment="1" applyProtection="1">
      <alignment horizontal="center" vertical="center" wrapText="1"/>
    </xf>
    <xf numFmtId="3" fontId="8" fillId="0" borderId="7" xfId="0" applyNumberFormat="1" applyFont="1" applyFill="1" applyBorder="1" applyAlignment="1" applyProtection="1">
      <alignment horizontal="center" vertical="center" wrapText="1"/>
    </xf>
    <xf numFmtId="3" fontId="7" fillId="0" borderId="26" xfId="0" applyNumberFormat="1" applyFont="1" applyFill="1" applyBorder="1" applyAlignment="1" applyProtection="1">
      <alignment horizontal="center" vertical="center" wrapText="1"/>
    </xf>
    <xf numFmtId="3" fontId="2" fillId="0" borderId="26" xfId="0" applyNumberFormat="1" applyFont="1" applyFill="1" applyBorder="1" applyAlignment="1" applyProtection="1">
      <alignment horizontal="center" vertical="center" wrapText="1"/>
    </xf>
    <xf numFmtId="3" fontId="7" fillId="0" borderId="50" xfId="0" applyNumberFormat="1" applyFont="1" applyFill="1" applyBorder="1" applyAlignment="1" applyProtection="1">
      <alignment horizontal="center" vertical="center" wrapText="1"/>
    </xf>
    <xf numFmtId="3" fontId="7" fillId="0" borderId="57" xfId="0" applyNumberFormat="1" applyFont="1" applyFill="1" applyBorder="1" applyAlignment="1" applyProtection="1">
      <alignment horizontal="center" vertical="center" wrapText="1"/>
    </xf>
    <xf numFmtId="3" fontId="7" fillId="0" borderId="58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Alignment="1" applyProtection="1">
      <alignment horizontal="right" vertical="center"/>
    </xf>
    <xf numFmtId="164" fontId="32" fillId="0" borderId="7" xfId="0" applyNumberFormat="1" applyFont="1" applyFill="1" applyBorder="1" applyAlignment="1" applyProtection="1">
      <alignment horizontal="centerContinuous" vertical="center" wrapText="1"/>
    </xf>
    <xf numFmtId="164" fontId="32" fillId="0" borderId="8" xfId="0" applyNumberFormat="1" applyFont="1" applyFill="1" applyBorder="1" applyAlignment="1" applyProtection="1">
      <alignment horizontal="centerContinuous" vertical="center" wrapText="1"/>
    </xf>
    <xf numFmtId="0" fontId="32" fillId="0" borderId="8" xfId="4" applyFont="1" applyFill="1" applyBorder="1" applyAlignment="1" applyProtection="1">
      <alignment horizontal="center" vertical="center" wrapText="1"/>
    </xf>
    <xf numFmtId="164" fontId="16" fillId="0" borderId="7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0" applyNumberFormat="1" applyFont="1" applyFill="1" applyBorder="1" applyAlignment="1" applyProtection="1">
      <alignment horizontal="right" vertical="center" wrapText="1" indent="1"/>
    </xf>
    <xf numFmtId="164" fontId="16" fillId="0" borderId="8" xfId="0" applyNumberFormat="1" applyFont="1" applyFill="1" applyBorder="1" applyAlignment="1" applyProtection="1">
      <alignment horizontal="right" vertical="center" wrapText="1" indent="1"/>
    </xf>
    <xf numFmtId="164" fontId="36" fillId="0" borderId="13" xfId="0" applyNumberFormat="1" applyFont="1" applyFill="1" applyBorder="1" applyAlignment="1" applyProtection="1">
      <alignment horizontal="right" vertical="center" wrapText="1" indent="1"/>
    </xf>
    <xf numFmtId="164" fontId="36" fillId="0" borderId="11" xfId="0" applyNumberFormat="1" applyFont="1" applyFill="1" applyBorder="1" applyAlignment="1" applyProtection="1">
      <alignment horizontal="right" vertical="center" wrapText="1" indent="1"/>
    </xf>
    <xf numFmtId="164" fontId="35" fillId="0" borderId="55" xfId="0" applyNumberFormat="1" applyFont="1" applyFill="1" applyBorder="1" applyAlignment="1" applyProtection="1">
      <alignment horizontal="right" vertical="center" wrapText="1" indent="1"/>
    </xf>
    <xf numFmtId="164" fontId="36" fillId="0" borderId="12" xfId="0" applyNumberFormat="1" applyFont="1" applyFill="1" applyBorder="1" applyAlignment="1" applyProtection="1">
      <alignment horizontal="righ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4" applyFont="1" applyFill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4" applyFont="1" applyFill="1" applyProtection="1"/>
    <xf numFmtId="0" fontId="5" fillId="0" borderId="0" xfId="0" applyFont="1" applyFill="1" applyAlignment="1" applyProtection="1">
      <alignment horizontal="right" vertical="center" wrapText="1" indent="1"/>
    </xf>
    <xf numFmtId="164" fontId="34" fillId="0" borderId="54" xfId="4" applyNumberFormat="1" applyFont="1" applyFill="1" applyBorder="1" applyAlignment="1" applyProtection="1">
      <alignment horizontal="left" vertical="center"/>
    </xf>
    <xf numFmtId="0" fontId="28" fillId="0" borderId="0" xfId="4" applyFont="1" applyFill="1" applyAlignment="1" applyProtection="1">
      <alignment horizontal="right" vertical="center" indent="1"/>
    </xf>
    <xf numFmtId="3" fontId="24" fillId="0" borderId="0" xfId="4" applyNumberFormat="1" applyFont="1" applyFill="1" applyProtection="1"/>
    <xf numFmtId="3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4" applyFont="1" applyFill="1" applyAlignment="1" applyProtection="1">
      <alignment horizontal="center"/>
    </xf>
    <xf numFmtId="0" fontId="5" fillId="0" borderId="0" xfId="4" applyFont="1" applyFill="1" applyAlignment="1" applyProtection="1"/>
    <xf numFmtId="3" fontId="2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4" applyFont="1" applyFill="1" applyAlignment="1" applyProtection="1"/>
    <xf numFmtId="0" fontId="5" fillId="0" borderId="0" xfId="4" applyFont="1" applyFill="1" applyAlignment="1" applyProtection="1">
      <alignment horizontal="right" vertical="center" indent="1"/>
    </xf>
    <xf numFmtId="3" fontId="5" fillId="0" borderId="0" xfId="4" applyNumberFormat="1" applyFont="1" applyFill="1" applyProtection="1"/>
    <xf numFmtId="3" fontId="5" fillId="0" borderId="0" xfId="4" applyNumberFormat="1" applyFont="1" applyFill="1" applyAlignment="1" applyProtection="1"/>
    <xf numFmtId="0" fontId="5" fillId="0" borderId="0" xfId="4" applyFont="1" applyFill="1" applyAlignment="1">
      <alignment horizontal="right" vertical="center" indent="1"/>
    </xf>
    <xf numFmtId="164" fontId="24" fillId="0" borderId="13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1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23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3" xfId="4" applyNumberFormat="1" applyFont="1" applyFill="1" applyBorder="1" applyAlignment="1" applyProtection="1">
      <alignment horizontal="right" vertical="center" wrapText="1"/>
    </xf>
    <xf numFmtId="164" fontId="14" fillId="0" borderId="7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4" applyNumberFormat="1" applyFont="1" applyFill="1" applyBorder="1" applyAlignment="1" applyProtection="1">
      <alignment horizontal="right" vertical="center" wrapText="1" indent="1"/>
    </xf>
    <xf numFmtId="164" fontId="2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4" applyNumberFormat="1" applyFont="1" applyFill="1" applyBorder="1" applyAlignment="1" applyProtection="1">
      <alignment horizontal="right" vertical="center" wrapText="1" indent="1"/>
    </xf>
    <xf numFmtId="164" fontId="24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4" applyNumberFormat="1" applyFont="1" applyFill="1" applyBorder="1" applyAlignment="1" applyProtection="1">
      <alignment horizontal="right" vertical="center" wrapText="1" indent="1"/>
    </xf>
    <xf numFmtId="164" fontId="35" fillId="0" borderId="7" xfId="4" applyNumberFormat="1" applyFont="1" applyFill="1" applyBorder="1" applyAlignment="1" applyProtection="1">
      <alignment horizontal="right" vertical="center" wrapText="1" indent="1"/>
    </xf>
    <xf numFmtId="164" fontId="38" fillId="0" borderId="7" xfId="0" applyNumberFormat="1" applyFont="1" applyBorder="1" applyAlignment="1" applyProtection="1">
      <alignment horizontal="right" vertical="center" wrapText="1" indent="1"/>
    </xf>
    <xf numFmtId="164" fontId="38" fillId="0" borderId="7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4" applyFont="1" applyFill="1" applyBorder="1" applyAlignment="1" applyProtection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164" fontId="34" fillId="0" borderId="54" xfId="4" applyNumberFormat="1" applyFont="1" applyFill="1" applyBorder="1" applyAlignment="1" applyProtection="1">
      <alignment horizontal="left" vertical="center"/>
    </xf>
    <xf numFmtId="164" fontId="14" fillId="0" borderId="0" xfId="4" applyNumberFormat="1" applyFont="1" applyFill="1" applyBorder="1" applyAlignment="1" applyProtection="1">
      <alignment horizontal="center" vertical="center"/>
    </xf>
    <xf numFmtId="164" fontId="34" fillId="0" borderId="54" xfId="4" applyNumberFormat="1" applyFont="1" applyFill="1" applyBorder="1" applyAlignment="1" applyProtection="1">
      <alignment horizontal="left"/>
    </xf>
    <xf numFmtId="164" fontId="12" fillId="0" borderId="0" xfId="4" applyNumberFormat="1" applyFont="1" applyFill="1" applyBorder="1" applyAlignment="1" applyProtection="1">
      <alignment horizontal="center" vertical="center"/>
    </xf>
    <xf numFmtId="164" fontId="23" fillId="0" borderId="54" xfId="4" applyNumberFormat="1" applyFont="1" applyFill="1" applyBorder="1" applyAlignment="1" applyProtection="1">
      <alignment horizontal="left" vertical="center"/>
    </xf>
    <xf numFmtId="164" fontId="23" fillId="0" borderId="54" xfId="4" applyNumberFormat="1" applyFont="1" applyFill="1" applyBorder="1" applyAlignment="1" applyProtection="1">
      <alignment horizontal="left"/>
    </xf>
    <xf numFmtId="164" fontId="32" fillId="0" borderId="60" xfId="0" applyNumberFormat="1" applyFont="1" applyFill="1" applyBorder="1" applyAlignment="1" applyProtection="1">
      <alignment horizontal="center" vertical="center" wrapText="1"/>
    </xf>
    <xf numFmtId="164" fontId="32" fillId="0" borderId="61" xfId="0" applyNumberFormat="1" applyFont="1" applyFill="1" applyBorder="1" applyAlignment="1" applyProtection="1">
      <alignment horizontal="center" vertical="center" wrapText="1"/>
    </xf>
    <xf numFmtId="164" fontId="37" fillId="0" borderId="51" xfId="0" applyNumberFormat="1" applyFont="1" applyFill="1" applyBorder="1" applyAlignment="1" applyProtection="1">
      <alignment horizontal="center" vertical="center" wrapText="1"/>
    </xf>
    <xf numFmtId="164" fontId="32" fillId="0" borderId="62" xfId="0" applyNumberFormat="1" applyFont="1" applyFill="1" applyBorder="1" applyAlignment="1" applyProtection="1">
      <alignment horizontal="center" vertical="center" wrapText="1"/>
    </xf>
    <xf numFmtId="164" fontId="32" fillId="0" borderId="63" xfId="0" applyNumberFormat="1" applyFont="1" applyFill="1" applyBorder="1" applyAlignment="1" applyProtection="1">
      <alignment horizontal="center" vertical="center" wrapText="1"/>
    </xf>
    <xf numFmtId="164" fontId="29" fillId="0" borderId="0" xfId="4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/>
    </xf>
    <xf numFmtId="0" fontId="14" fillId="0" borderId="29" xfId="4" applyFont="1" applyFill="1" applyBorder="1" applyAlignment="1">
      <alignment horizontal="center" vertical="center" wrapText="1"/>
    </xf>
    <xf numFmtId="0" fontId="14" fillId="0" borderId="24" xfId="4" applyFont="1" applyFill="1" applyBorder="1" applyAlignment="1">
      <alignment horizontal="center" vertical="center" wrapText="1"/>
    </xf>
    <xf numFmtId="0" fontId="14" fillId="0" borderId="28" xfId="4" applyFont="1" applyFill="1" applyBorder="1" applyAlignment="1">
      <alignment horizontal="center" vertical="center" wrapText="1"/>
    </xf>
    <xf numFmtId="0" fontId="14" fillId="0" borderId="22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23" xfId="4" applyFont="1" applyFill="1" applyBorder="1" applyAlignment="1">
      <alignment horizontal="center" vertical="center" wrapText="1"/>
    </xf>
    <xf numFmtId="0" fontId="49" fillId="0" borderId="0" xfId="0" applyFont="1" applyFill="1" applyBorder="1" applyAlignment="1" applyProtection="1">
      <alignment horizontal="right"/>
    </xf>
    <xf numFmtId="0" fontId="32" fillId="0" borderId="6" xfId="4" applyFont="1" applyFill="1" applyBorder="1" applyAlignment="1" applyProtection="1">
      <alignment horizontal="left"/>
    </xf>
    <xf numFmtId="0" fontId="32" fillId="0" borderId="7" xfId="4" applyFont="1" applyFill="1" applyBorder="1" applyAlignment="1" applyProtection="1">
      <alignment horizontal="left"/>
    </xf>
    <xf numFmtId="0" fontId="18" fillId="0" borderId="51" xfId="4" applyFont="1" applyFill="1" applyBorder="1" applyAlignment="1">
      <alignment horizontal="justify" vertical="center" wrapText="1"/>
    </xf>
    <xf numFmtId="3" fontId="7" fillId="0" borderId="0" xfId="0" applyNumberFormat="1" applyFont="1" applyFill="1" applyAlignment="1">
      <alignment horizontal="center" vertical="center" wrapText="1"/>
    </xf>
    <xf numFmtId="3" fontId="28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4" fontId="35" fillId="0" borderId="0" xfId="0" applyNumberFormat="1" applyFont="1" applyFill="1" applyAlignment="1">
      <alignment horizontal="center" vertical="center" wrapText="1"/>
    </xf>
    <xf numFmtId="0" fontId="35" fillId="0" borderId="64" xfId="0" applyFont="1" applyFill="1" applyBorder="1" applyAlignment="1" applyProtection="1">
      <alignment horizontal="center"/>
    </xf>
    <xf numFmtId="0" fontId="35" fillId="0" borderId="51" xfId="0" applyFont="1" applyFill="1" applyBorder="1" applyAlignment="1" applyProtection="1">
      <alignment horizontal="center"/>
    </xf>
    <xf numFmtId="0" fontId="35" fillId="0" borderId="65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 indent="1"/>
      <protection locked="0"/>
    </xf>
    <xf numFmtId="0" fontId="5" fillId="0" borderId="66" xfId="0" applyFont="1" applyFill="1" applyBorder="1" applyAlignment="1" applyProtection="1">
      <alignment horizontal="left" indent="1"/>
      <protection locked="0"/>
    </xf>
    <xf numFmtId="0" fontId="5" fillId="0" borderId="67" xfId="0" applyFont="1" applyFill="1" applyBorder="1" applyAlignment="1" applyProtection="1">
      <alignment horizontal="left" indent="1"/>
      <protection locked="0"/>
    </xf>
    <xf numFmtId="0" fontId="5" fillId="0" borderId="9" xfId="0" applyFont="1" applyFill="1" applyBorder="1" applyAlignment="1" applyProtection="1">
      <alignment horizontal="left" indent="1"/>
      <protection locked="0"/>
    </xf>
    <xf numFmtId="0" fontId="5" fillId="0" borderId="10" xfId="0" applyFont="1" applyFill="1" applyBorder="1" applyAlignment="1" applyProtection="1">
      <alignment horizontal="left" indent="1"/>
      <protection locked="0"/>
    </xf>
    <xf numFmtId="0" fontId="5" fillId="0" borderId="52" xfId="0" applyFont="1" applyFill="1" applyBorder="1" applyAlignment="1" applyProtection="1">
      <alignment horizontal="left" indent="1"/>
      <protection locked="0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left"/>
    </xf>
    <xf numFmtId="0" fontId="34" fillId="0" borderId="0" xfId="0" applyFont="1" applyFill="1" applyBorder="1" applyAlignment="1" applyProtection="1">
      <alignment horizontal="right"/>
    </xf>
    <xf numFmtId="0" fontId="35" fillId="0" borderId="4" xfId="0" applyFont="1" applyFill="1" applyBorder="1" applyAlignment="1" applyProtection="1">
      <alignment horizontal="left" indent="1"/>
    </xf>
    <xf numFmtId="0" fontId="35" fillId="0" borderId="16" xfId="0" applyFont="1" applyFill="1" applyBorder="1" applyAlignment="1" applyProtection="1">
      <alignment horizontal="left" indent="1"/>
    </xf>
    <xf numFmtId="0" fontId="35" fillId="0" borderId="18" xfId="0" applyFont="1" applyFill="1" applyBorder="1" applyAlignment="1" applyProtection="1">
      <alignment horizontal="left" indent="1"/>
    </xf>
    <xf numFmtId="0" fontId="5" fillId="0" borderId="2" xfId="0" applyFont="1" applyFill="1" applyBorder="1" applyAlignment="1" applyProtection="1">
      <alignment horizontal="right" indent="1"/>
      <protection locked="0"/>
    </xf>
    <xf numFmtId="0" fontId="5" fillId="0" borderId="29" xfId="0" applyFont="1" applyFill="1" applyBorder="1" applyAlignment="1" applyProtection="1">
      <alignment horizontal="right" indent="1"/>
      <protection locked="0"/>
    </xf>
    <xf numFmtId="0" fontId="5" fillId="0" borderId="23" xfId="0" applyFont="1" applyFill="1" applyBorder="1" applyAlignment="1" applyProtection="1">
      <alignment horizontal="right" indent="1"/>
      <protection locked="0"/>
    </xf>
    <xf numFmtId="0" fontId="5" fillId="0" borderId="24" xfId="0" applyFont="1" applyFill="1" applyBorder="1" applyAlignment="1" applyProtection="1">
      <alignment horizontal="right" indent="1"/>
      <protection locked="0"/>
    </xf>
    <xf numFmtId="0" fontId="35" fillId="0" borderId="7" xfId="0" applyFont="1" applyFill="1" applyBorder="1" applyAlignment="1" applyProtection="1">
      <alignment horizontal="right" indent="1"/>
    </xf>
    <xf numFmtId="0" fontId="35" fillId="0" borderId="8" xfId="0" applyFont="1" applyFill="1" applyBorder="1" applyAlignment="1" applyProtection="1">
      <alignment horizontal="right" indent="1"/>
    </xf>
    <xf numFmtId="0" fontId="35" fillId="0" borderId="5" xfId="0" applyFont="1" applyFill="1" applyBorder="1" applyAlignment="1" applyProtection="1">
      <alignment horizontal="center"/>
    </xf>
    <xf numFmtId="0" fontId="35" fillId="0" borderId="27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>
      <alignment horizont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4" xfId="0" applyNumberFormat="1" applyFont="1" applyFill="1" applyBorder="1" applyAlignment="1" applyProtection="1">
      <alignment horizontal="left" vertical="center" wrapText="1" indent="2"/>
    </xf>
    <xf numFmtId="164" fontId="32" fillId="0" borderId="55" xfId="0" applyNumberFormat="1" applyFont="1" applyFill="1" applyBorder="1" applyAlignment="1" applyProtection="1">
      <alignment horizontal="left" vertical="center" wrapText="1" indent="2"/>
    </xf>
    <xf numFmtId="164" fontId="32" fillId="0" borderId="60" xfId="0" applyNumberFormat="1" applyFont="1" applyFill="1" applyBorder="1" applyAlignment="1" applyProtection="1">
      <alignment horizontal="center" vertical="center"/>
    </xf>
    <xf numFmtId="164" fontId="32" fillId="0" borderId="61" xfId="0" applyNumberFormat="1" applyFont="1" applyFill="1" applyBorder="1" applyAlignment="1" applyProtection="1">
      <alignment horizontal="center" vertical="center"/>
    </xf>
    <xf numFmtId="164" fontId="32" fillId="0" borderId="1" xfId="0" applyNumberFormat="1" applyFont="1" applyFill="1" applyBorder="1" applyAlignment="1" applyProtection="1">
      <alignment horizontal="center" vertical="center"/>
    </xf>
    <xf numFmtId="164" fontId="32" fillId="0" borderId="66" xfId="0" applyNumberFormat="1" applyFont="1" applyFill="1" applyBorder="1" applyAlignment="1" applyProtection="1">
      <alignment horizontal="center" vertical="center"/>
    </xf>
    <xf numFmtId="164" fontId="32" fillId="0" borderId="59" xfId="0" applyNumberFormat="1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>
      <alignment horizontal="justify" vertical="center" wrapText="1"/>
    </xf>
    <xf numFmtId="0" fontId="41" fillId="0" borderId="0" xfId="0" applyFont="1" applyAlignment="1">
      <alignment horizontal="center" wrapText="1"/>
    </xf>
    <xf numFmtId="0" fontId="41" fillId="0" borderId="0" xfId="5" applyFont="1" applyFill="1" applyAlignment="1" applyProtection="1">
      <alignment horizontal="center" wrapText="1"/>
    </xf>
    <xf numFmtId="0" fontId="41" fillId="0" borderId="0" xfId="5" applyFont="1" applyFill="1" applyAlignment="1" applyProtection="1">
      <alignment horizontal="center"/>
    </xf>
    <xf numFmtId="0" fontId="42" fillId="0" borderId="42" xfId="5" applyFont="1" applyFill="1" applyBorder="1" applyAlignment="1" applyProtection="1">
      <alignment horizontal="left" vertical="center" indent="1"/>
    </xf>
    <xf numFmtId="0" fontId="42" fillId="0" borderId="16" xfId="5" applyFont="1" applyFill="1" applyBorder="1" applyAlignment="1" applyProtection="1">
      <alignment horizontal="left" vertical="center" indent="1"/>
    </xf>
    <xf numFmtId="0" fontId="42" fillId="0" borderId="55" xfId="5" applyFont="1" applyFill="1" applyBorder="1" applyAlignment="1" applyProtection="1">
      <alignment horizontal="left" vertical="center" indent="1"/>
    </xf>
    <xf numFmtId="0" fontId="42" fillId="0" borderId="57" xfId="5" applyFont="1" applyFill="1" applyBorder="1" applyAlignment="1" applyProtection="1">
      <alignment horizontal="left" vertical="center" indent="1"/>
    </xf>
    <xf numFmtId="0" fontId="42" fillId="0" borderId="54" xfId="5" applyFont="1" applyFill="1" applyBorder="1" applyAlignment="1" applyProtection="1">
      <alignment horizontal="left" vertical="center" indent="1"/>
    </xf>
    <xf numFmtId="0" fontId="42" fillId="0" borderId="36" xfId="5" applyFont="1" applyFill="1" applyBorder="1" applyAlignment="1" applyProtection="1">
      <alignment horizontal="left" vertical="center" indent="1"/>
    </xf>
    <xf numFmtId="0" fontId="46" fillId="0" borderId="0" xfId="5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7" fillId="0" borderId="4" xfId="0" applyFont="1" applyBorder="1" applyAlignment="1" applyProtection="1">
      <alignment horizontal="left" vertical="center" indent="2"/>
    </xf>
    <xf numFmtId="0" fontId="7" fillId="0" borderId="18" xfId="0" applyFont="1" applyBorder="1" applyAlignment="1" applyProtection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FFC000"/>
  </sheetPr>
  <dimension ref="A1:G163"/>
  <sheetViews>
    <sheetView view="pageLayout" topLeftCell="A92" zoomScaleNormal="98" zoomScaleSheetLayoutView="100" workbookViewId="0">
      <selection activeCell="C110" sqref="C110"/>
    </sheetView>
  </sheetViews>
  <sheetFormatPr defaultRowHeight="12.75"/>
  <cols>
    <col min="1" max="1" width="9.5" style="744" customWidth="1"/>
    <col min="2" max="2" width="77.5" style="744" bestFit="1" customWidth="1"/>
    <col min="3" max="3" width="19" style="754" bestFit="1" customWidth="1"/>
    <col min="4" max="4" width="9.33203125" style="744"/>
    <col min="5" max="5" width="13" style="755" bestFit="1" customWidth="1"/>
    <col min="6" max="6" width="9.33203125" style="755"/>
    <col min="7" max="7" width="13" style="755" bestFit="1" customWidth="1"/>
    <col min="8" max="16384" width="9.33203125" style="744"/>
  </cols>
  <sheetData>
    <row r="1" spans="1:7">
      <c r="B1" s="750" t="s">
        <v>645</v>
      </c>
    </row>
    <row r="2" spans="1:7">
      <c r="B2" s="750" t="s">
        <v>674</v>
      </c>
    </row>
    <row r="5" spans="1:7">
      <c r="A5" s="776" t="s">
        <v>11</v>
      </c>
      <c r="B5" s="776"/>
      <c r="C5" s="744"/>
    </row>
    <row r="6" spans="1:7" ht="14.25" thickBot="1">
      <c r="A6" s="775" t="s">
        <v>142</v>
      </c>
      <c r="B6" s="775"/>
      <c r="C6" s="562" t="s">
        <v>581</v>
      </c>
    </row>
    <row r="7" spans="1:7" ht="26.25" thickBot="1">
      <c r="A7" s="232" t="s">
        <v>64</v>
      </c>
      <c r="B7" s="233" t="s">
        <v>13</v>
      </c>
      <c r="C7" s="643" t="s">
        <v>692</v>
      </c>
    </row>
    <row r="8" spans="1:7" s="42" customFormat="1" ht="13.5" thickBot="1">
      <c r="A8" s="625" t="s">
        <v>483</v>
      </c>
      <c r="B8" s="626" t="s">
        <v>484</v>
      </c>
      <c r="C8" s="635" t="s">
        <v>485</v>
      </c>
      <c r="E8" s="748"/>
      <c r="F8" s="748"/>
      <c r="G8" s="748"/>
    </row>
    <row r="9" spans="1:7" s="42" customFormat="1" ht="13.5" thickBot="1">
      <c r="A9" s="235" t="s">
        <v>14</v>
      </c>
      <c r="B9" s="236" t="s">
        <v>241</v>
      </c>
      <c r="C9" s="582">
        <f>+C10+C11+C12+C13+C14+C15</f>
        <v>223966276</v>
      </c>
      <c r="E9" s="748"/>
      <c r="F9" s="748"/>
      <c r="G9" s="748"/>
    </row>
    <row r="10" spans="1:7" s="42" customFormat="1">
      <c r="A10" s="237" t="s">
        <v>93</v>
      </c>
      <c r="B10" s="112" t="s">
        <v>242</v>
      </c>
      <c r="C10" s="579">
        <v>118506104</v>
      </c>
      <c r="E10" s="748"/>
      <c r="F10" s="748"/>
      <c r="G10" s="748"/>
    </row>
    <row r="11" spans="1:7" s="42" customFormat="1">
      <c r="A11" s="238" t="s">
        <v>94</v>
      </c>
      <c r="B11" s="113" t="s">
        <v>243</v>
      </c>
      <c r="C11" s="574">
        <v>64532484</v>
      </c>
      <c r="E11" s="748"/>
      <c r="F11" s="748"/>
      <c r="G11" s="748"/>
    </row>
    <row r="12" spans="1:7" s="42" customFormat="1">
      <c r="A12" s="238" t="s">
        <v>95</v>
      </c>
      <c r="B12" s="113" t="s">
        <v>244</v>
      </c>
      <c r="C12" s="574">
        <v>37842188</v>
      </c>
      <c r="E12" s="748"/>
      <c r="F12" s="748"/>
      <c r="G12" s="748"/>
    </row>
    <row r="13" spans="1:7" s="42" customFormat="1">
      <c r="A13" s="238" t="s">
        <v>96</v>
      </c>
      <c r="B13" s="113" t="s">
        <v>245</v>
      </c>
      <c r="C13" s="574">
        <v>3085500</v>
      </c>
      <c r="E13" s="748"/>
      <c r="F13" s="748"/>
      <c r="G13" s="748"/>
    </row>
    <row r="14" spans="1:7" s="42" customFormat="1">
      <c r="A14" s="238" t="s">
        <v>139</v>
      </c>
      <c r="B14" s="239" t="s">
        <v>426</v>
      </c>
      <c r="C14" s="574"/>
      <c r="E14" s="748"/>
      <c r="F14" s="748"/>
      <c r="G14" s="748"/>
    </row>
    <row r="15" spans="1:7" s="42" customFormat="1" ht="13.5" thickBot="1">
      <c r="A15" s="240" t="s">
        <v>97</v>
      </c>
      <c r="B15" s="241" t="s">
        <v>427</v>
      </c>
      <c r="C15" s="574"/>
      <c r="E15" s="748"/>
      <c r="F15" s="748"/>
      <c r="G15" s="748"/>
    </row>
    <row r="16" spans="1:7" s="42" customFormat="1" ht="13.5" thickBot="1">
      <c r="A16" s="235" t="s">
        <v>15</v>
      </c>
      <c r="B16" s="242" t="s">
        <v>246</v>
      </c>
      <c r="C16" s="582">
        <f>+C17+C18+C19+C20+C21</f>
        <v>75745329</v>
      </c>
      <c r="E16" s="748"/>
      <c r="F16" s="748"/>
      <c r="G16" s="748"/>
    </row>
    <row r="17" spans="1:7" s="42" customFormat="1">
      <c r="A17" s="237" t="s">
        <v>99</v>
      </c>
      <c r="B17" s="112" t="s">
        <v>247</v>
      </c>
      <c r="C17" s="579"/>
      <c r="E17" s="748"/>
      <c r="F17" s="748"/>
      <c r="G17" s="748"/>
    </row>
    <row r="18" spans="1:7" s="42" customFormat="1">
      <c r="A18" s="238" t="s">
        <v>100</v>
      </c>
      <c r="B18" s="113" t="s">
        <v>248</v>
      </c>
      <c r="C18" s="574"/>
      <c r="E18" s="748"/>
      <c r="F18" s="748"/>
      <c r="G18" s="748"/>
    </row>
    <row r="19" spans="1:7" s="42" customFormat="1">
      <c r="A19" s="238" t="s">
        <v>101</v>
      </c>
      <c r="B19" s="113" t="s">
        <v>416</v>
      </c>
      <c r="C19" s="574"/>
      <c r="E19" s="748"/>
      <c r="F19" s="748"/>
      <c r="G19" s="748"/>
    </row>
    <row r="20" spans="1:7" s="42" customFormat="1">
      <c r="A20" s="238" t="s">
        <v>102</v>
      </c>
      <c r="B20" s="113" t="s">
        <v>417</v>
      </c>
      <c r="C20" s="574"/>
      <c r="E20" s="748"/>
      <c r="F20" s="748"/>
      <c r="G20" s="748"/>
    </row>
    <row r="21" spans="1:7" s="42" customFormat="1">
      <c r="A21" s="238" t="s">
        <v>103</v>
      </c>
      <c r="B21" s="113" t="s">
        <v>249</v>
      </c>
      <c r="C21" s="574">
        <f>75066371+678958</f>
        <v>75745329</v>
      </c>
      <c r="E21" s="748"/>
      <c r="F21" s="748"/>
      <c r="G21" s="748"/>
    </row>
    <row r="22" spans="1:7" s="42" customFormat="1" ht="13.5" thickBot="1">
      <c r="A22" s="240" t="s">
        <v>112</v>
      </c>
      <c r="B22" s="241" t="s">
        <v>250</v>
      </c>
      <c r="C22" s="575"/>
      <c r="E22" s="748"/>
      <c r="F22" s="748"/>
      <c r="G22" s="748"/>
    </row>
    <row r="23" spans="1:7" s="42" customFormat="1" ht="13.5" thickBot="1">
      <c r="A23" s="235" t="s">
        <v>16</v>
      </c>
      <c r="B23" s="236" t="s">
        <v>251</v>
      </c>
      <c r="C23" s="582">
        <f>+C24+C25+C26+C27+C28</f>
        <v>39844721</v>
      </c>
      <c r="E23" s="748"/>
      <c r="F23" s="748"/>
      <c r="G23" s="748"/>
    </row>
    <row r="24" spans="1:7" s="42" customFormat="1">
      <c r="A24" s="237" t="s">
        <v>82</v>
      </c>
      <c r="B24" s="112" t="s">
        <v>252</v>
      </c>
      <c r="C24" s="579"/>
      <c r="E24" s="748"/>
      <c r="F24" s="748"/>
      <c r="G24" s="748"/>
    </row>
    <row r="25" spans="1:7" s="42" customFormat="1">
      <c r="A25" s="238" t="s">
        <v>83</v>
      </c>
      <c r="B25" s="113" t="s">
        <v>253</v>
      </c>
      <c r="C25" s="574"/>
      <c r="E25" s="748"/>
      <c r="F25" s="748"/>
      <c r="G25" s="748"/>
    </row>
    <row r="26" spans="1:7" s="42" customFormat="1">
      <c r="A26" s="238" t="s">
        <v>84</v>
      </c>
      <c r="B26" s="113" t="s">
        <v>418</v>
      </c>
      <c r="C26" s="574"/>
      <c r="E26" s="748"/>
      <c r="F26" s="748"/>
      <c r="G26" s="748"/>
    </row>
    <row r="27" spans="1:7" s="42" customFormat="1">
      <c r="A27" s="238" t="s">
        <v>85</v>
      </c>
      <c r="B27" s="113" t="s">
        <v>419</v>
      </c>
      <c r="C27" s="574"/>
      <c r="E27" s="748"/>
      <c r="F27" s="748"/>
      <c r="G27" s="748"/>
    </row>
    <row r="28" spans="1:7" s="42" customFormat="1">
      <c r="A28" s="238" t="s">
        <v>160</v>
      </c>
      <c r="B28" s="113" t="s">
        <v>254</v>
      </c>
      <c r="C28" s="574">
        <v>39844721</v>
      </c>
      <c r="E28" s="748"/>
      <c r="F28" s="748"/>
      <c r="G28" s="748"/>
    </row>
    <row r="29" spans="1:7" s="42" customFormat="1" ht="13.5" thickBot="1">
      <c r="A29" s="240" t="s">
        <v>161</v>
      </c>
      <c r="B29" s="115" t="s">
        <v>255</v>
      </c>
      <c r="C29" s="575"/>
      <c r="E29" s="748"/>
      <c r="F29" s="748"/>
      <c r="G29" s="748"/>
    </row>
    <row r="30" spans="1:7" s="42" customFormat="1" ht="13.5" thickBot="1">
      <c r="A30" s="235" t="s">
        <v>162</v>
      </c>
      <c r="B30" s="236" t="s">
        <v>256</v>
      </c>
      <c r="C30" s="583">
        <f>+C31+C35+C36+C37</f>
        <v>137750000</v>
      </c>
      <c r="E30" s="748"/>
      <c r="F30" s="748"/>
      <c r="G30" s="748"/>
    </row>
    <row r="31" spans="1:7" s="42" customFormat="1">
      <c r="A31" s="237" t="s">
        <v>257</v>
      </c>
      <c r="B31" s="112" t="s">
        <v>433</v>
      </c>
      <c r="C31" s="636">
        <f>+C32+C33+C34</f>
        <v>100000000</v>
      </c>
      <c r="E31" s="748"/>
      <c r="F31" s="748"/>
      <c r="G31" s="748"/>
    </row>
    <row r="32" spans="1:7" s="42" customFormat="1">
      <c r="A32" s="238" t="s">
        <v>258</v>
      </c>
      <c r="B32" s="113" t="s">
        <v>263</v>
      </c>
      <c r="C32" s="574">
        <v>58000000</v>
      </c>
      <c r="E32" s="748"/>
      <c r="F32" s="748"/>
      <c r="G32" s="748"/>
    </row>
    <row r="33" spans="1:7" s="42" customFormat="1">
      <c r="A33" s="238" t="s">
        <v>259</v>
      </c>
      <c r="B33" s="113" t="s">
        <v>264</v>
      </c>
      <c r="C33" s="574"/>
      <c r="E33" s="748"/>
      <c r="F33" s="748"/>
      <c r="G33" s="748"/>
    </row>
    <row r="34" spans="1:7" s="42" customFormat="1">
      <c r="A34" s="238" t="s">
        <v>431</v>
      </c>
      <c r="B34" s="114" t="s">
        <v>432</v>
      </c>
      <c r="C34" s="574">
        <v>42000000</v>
      </c>
      <c r="E34" s="748"/>
      <c r="F34" s="748"/>
      <c r="G34" s="748"/>
    </row>
    <row r="35" spans="1:7" s="42" customFormat="1">
      <c r="A35" s="238" t="s">
        <v>260</v>
      </c>
      <c r="B35" s="113" t="s">
        <v>265</v>
      </c>
      <c r="C35" s="574">
        <v>9000000</v>
      </c>
      <c r="E35" s="748"/>
      <c r="F35" s="748"/>
      <c r="G35" s="748"/>
    </row>
    <row r="36" spans="1:7" s="42" customFormat="1">
      <c r="A36" s="238" t="s">
        <v>261</v>
      </c>
      <c r="B36" s="113" t="s">
        <v>266</v>
      </c>
      <c r="C36" s="574">
        <v>27500000</v>
      </c>
      <c r="E36" s="748"/>
      <c r="F36" s="748"/>
      <c r="G36" s="748"/>
    </row>
    <row r="37" spans="1:7" s="42" customFormat="1" ht="13.5" thickBot="1">
      <c r="A37" s="240" t="s">
        <v>262</v>
      </c>
      <c r="B37" s="115" t="s">
        <v>267</v>
      </c>
      <c r="C37" s="575">
        <f>200000+1050000</f>
        <v>1250000</v>
      </c>
      <c r="E37" s="748"/>
      <c r="F37" s="748"/>
      <c r="G37" s="748"/>
    </row>
    <row r="38" spans="1:7" s="42" customFormat="1" ht="13.5" thickBot="1">
      <c r="A38" s="235" t="s">
        <v>18</v>
      </c>
      <c r="B38" s="236" t="s">
        <v>428</v>
      </c>
      <c r="C38" s="582">
        <f>SUM(C39:C49)</f>
        <v>133382632</v>
      </c>
      <c r="E38" s="748"/>
      <c r="F38" s="748"/>
      <c r="G38" s="748"/>
    </row>
    <row r="39" spans="1:7" s="42" customFormat="1">
      <c r="A39" s="237" t="s">
        <v>86</v>
      </c>
      <c r="B39" s="112" t="s">
        <v>270</v>
      </c>
      <c r="C39" s="579"/>
      <c r="E39" s="748"/>
      <c r="F39" s="748"/>
      <c r="G39" s="748"/>
    </row>
    <row r="40" spans="1:7" s="42" customFormat="1">
      <c r="A40" s="238" t="s">
        <v>87</v>
      </c>
      <c r="B40" s="113" t="s">
        <v>271</v>
      </c>
      <c r="C40" s="574">
        <f>'1.3.sz.mell.'!C41+4214790+3149606+2120000</f>
        <v>101843710</v>
      </c>
      <c r="E40" s="748"/>
      <c r="F40" s="748"/>
      <c r="G40" s="748"/>
    </row>
    <row r="41" spans="1:7" s="42" customFormat="1">
      <c r="A41" s="238" t="s">
        <v>88</v>
      </c>
      <c r="B41" s="113" t="s">
        <v>272</v>
      </c>
      <c r="C41" s="574">
        <f>1650000+500000+100000</f>
        <v>2250000</v>
      </c>
      <c r="E41" s="748"/>
      <c r="F41" s="748"/>
      <c r="G41" s="748"/>
    </row>
    <row r="42" spans="1:7" s="42" customFormat="1">
      <c r="A42" s="238" t="s">
        <v>164</v>
      </c>
      <c r="B42" s="113" t="s">
        <v>273</v>
      </c>
      <c r="C42" s="574"/>
      <c r="E42" s="748"/>
      <c r="F42" s="748"/>
      <c r="G42" s="748"/>
    </row>
    <row r="43" spans="1:7" s="42" customFormat="1">
      <c r="A43" s="238" t="s">
        <v>165</v>
      </c>
      <c r="B43" s="113" t="s">
        <v>274</v>
      </c>
      <c r="C43" s="574">
        <f>1500000</f>
        <v>1500000</v>
      </c>
      <c r="E43" s="748"/>
      <c r="F43" s="748"/>
      <c r="G43" s="748"/>
    </row>
    <row r="44" spans="1:7" s="42" customFormat="1">
      <c r="A44" s="238" t="s">
        <v>166</v>
      </c>
      <c r="B44" s="113" t="s">
        <v>275</v>
      </c>
      <c r="C44" s="574">
        <f>'1.3.sz.mell.'!C45+850394+1137993</f>
        <v>27775902</v>
      </c>
      <c r="E44" s="748"/>
      <c r="F44" s="748"/>
      <c r="G44" s="748"/>
    </row>
    <row r="45" spans="1:7" s="42" customFormat="1">
      <c r="A45" s="238" t="s">
        <v>167</v>
      </c>
      <c r="B45" s="113" t="s">
        <v>276</v>
      </c>
      <c r="C45" s="574"/>
      <c r="E45" s="748"/>
      <c r="F45" s="748"/>
      <c r="G45" s="748"/>
    </row>
    <row r="46" spans="1:7" s="42" customFormat="1">
      <c r="A46" s="238" t="s">
        <v>168</v>
      </c>
      <c r="B46" s="113" t="s">
        <v>277</v>
      </c>
      <c r="C46" s="574">
        <f>1000+10+10</f>
        <v>1020</v>
      </c>
      <c r="E46" s="748"/>
      <c r="F46" s="748"/>
      <c r="G46" s="748"/>
    </row>
    <row r="47" spans="1:7" s="42" customFormat="1">
      <c r="A47" s="238" t="s">
        <v>268</v>
      </c>
      <c r="B47" s="113" t="s">
        <v>278</v>
      </c>
      <c r="C47" s="741"/>
      <c r="E47" s="748"/>
      <c r="F47" s="748"/>
      <c r="G47" s="748"/>
    </row>
    <row r="48" spans="1:7" s="42" customFormat="1">
      <c r="A48" s="240" t="s">
        <v>269</v>
      </c>
      <c r="B48" s="115" t="s">
        <v>430</v>
      </c>
      <c r="C48" s="742"/>
      <c r="E48" s="748"/>
      <c r="F48" s="748"/>
      <c r="G48" s="748"/>
    </row>
    <row r="49" spans="1:7" s="42" customFormat="1" ht="13.5" thickBot="1">
      <c r="A49" s="240" t="s">
        <v>429</v>
      </c>
      <c r="B49" s="241" t="s">
        <v>279</v>
      </c>
      <c r="C49" s="742">
        <f>10000+1000+1000</f>
        <v>12000</v>
      </c>
      <c r="E49" s="748"/>
      <c r="F49" s="748"/>
      <c r="G49" s="748"/>
    </row>
    <row r="50" spans="1:7" s="42" customFormat="1" ht="13.5" thickBot="1">
      <c r="A50" s="235" t="s">
        <v>19</v>
      </c>
      <c r="B50" s="236" t="s">
        <v>280</v>
      </c>
      <c r="C50" s="582">
        <f>SUM(C51:C55)</f>
        <v>7000000</v>
      </c>
      <c r="E50" s="748"/>
      <c r="F50" s="748"/>
      <c r="G50" s="748"/>
    </row>
    <row r="51" spans="1:7" s="42" customFormat="1">
      <c r="A51" s="237" t="s">
        <v>89</v>
      </c>
      <c r="B51" s="112" t="s">
        <v>284</v>
      </c>
      <c r="C51" s="743"/>
      <c r="E51" s="748"/>
      <c r="F51" s="748"/>
      <c r="G51" s="748"/>
    </row>
    <row r="52" spans="1:7" s="42" customFormat="1">
      <c r="A52" s="238" t="s">
        <v>90</v>
      </c>
      <c r="B52" s="113" t="s">
        <v>285</v>
      </c>
      <c r="C52" s="741">
        <f>7000000</f>
        <v>7000000</v>
      </c>
      <c r="E52" s="748"/>
      <c r="F52" s="748"/>
      <c r="G52" s="748"/>
    </row>
    <row r="53" spans="1:7" s="42" customFormat="1">
      <c r="A53" s="238" t="s">
        <v>281</v>
      </c>
      <c r="B53" s="113" t="s">
        <v>286</v>
      </c>
      <c r="C53" s="741"/>
      <c r="E53" s="748"/>
      <c r="F53" s="748"/>
      <c r="G53" s="748"/>
    </row>
    <row r="54" spans="1:7" s="42" customFormat="1">
      <c r="A54" s="238" t="s">
        <v>282</v>
      </c>
      <c r="B54" s="113" t="s">
        <v>287</v>
      </c>
      <c r="C54" s="741"/>
      <c r="E54" s="748"/>
      <c r="F54" s="748"/>
      <c r="G54" s="748"/>
    </row>
    <row r="55" spans="1:7" s="42" customFormat="1" ht="13.5" thickBot="1">
      <c r="A55" s="240" t="s">
        <v>283</v>
      </c>
      <c r="B55" s="241" t="s">
        <v>288</v>
      </c>
      <c r="C55" s="742"/>
      <c r="E55" s="748"/>
      <c r="F55" s="748"/>
      <c r="G55" s="748"/>
    </row>
    <row r="56" spans="1:7" s="42" customFormat="1" ht="13.5" thickBot="1">
      <c r="A56" s="235" t="s">
        <v>169</v>
      </c>
      <c r="B56" s="236" t="s">
        <v>289</v>
      </c>
      <c r="C56" s="582">
        <f>SUM(C57:C59)</f>
        <v>505503</v>
      </c>
      <c r="E56" s="748"/>
      <c r="F56" s="748"/>
      <c r="G56" s="748"/>
    </row>
    <row r="57" spans="1:7" s="42" customFormat="1">
      <c r="A57" s="237" t="s">
        <v>91</v>
      </c>
      <c r="B57" s="112" t="s">
        <v>290</v>
      </c>
      <c r="C57" s="579"/>
      <c r="E57" s="748"/>
      <c r="F57" s="748"/>
      <c r="G57" s="748"/>
    </row>
    <row r="58" spans="1:7" s="42" customFormat="1">
      <c r="A58" s="238" t="s">
        <v>92</v>
      </c>
      <c r="B58" s="113" t="s">
        <v>420</v>
      </c>
      <c r="C58" s="574"/>
      <c r="E58" s="748"/>
      <c r="F58" s="748"/>
      <c r="G58" s="748"/>
    </row>
    <row r="59" spans="1:7" s="42" customFormat="1">
      <c r="A59" s="238" t="s">
        <v>293</v>
      </c>
      <c r="B59" s="113" t="s">
        <v>291</v>
      </c>
      <c r="C59" s="574">
        <v>505503</v>
      </c>
      <c r="E59" s="748"/>
      <c r="F59" s="748"/>
      <c r="G59" s="748"/>
    </row>
    <row r="60" spans="1:7" s="42" customFormat="1" ht="13.5" thickBot="1">
      <c r="A60" s="240" t="s">
        <v>294</v>
      </c>
      <c r="B60" s="241" t="s">
        <v>292</v>
      </c>
      <c r="C60" s="575"/>
      <c r="E60" s="748"/>
      <c r="F60" s="748"/>
      <c r="G60" s="748"/>
    </row>
    <row r="61" spans="1:7" s="42" customFormat="1" ht="13.5" thickBot="1">
      <c r="A61" s="235" t="s">
        <v>21</v>
      </c>
      <c r="B61" s="242" t="s">
        <v>295</v>
      </c>
      <c r="C61" s="582">
        <f>SUM(C62:C64)</f>
        <v>100000</v>
      </c>
      <c r="E61" s="748"/>
      <c r="F61" s="748"/>
      <c r="G61" s="748"/>
    </row>
    <row r="62" spans="1:7" s="42" customFormat="1">
      <c r="A62" s="237" t="s">
        <v>170</v>
      </c>
      <c r="B62" s="112" t="s">
        <v>297</v>
      </c>
      <c r="C62" s="741"/>
      <c r="E62" s="748"/>
      <c r="F62" s="748"/>
      <c r="G62" s="748"/>
    </row>
    <row r="63" spans="1:7" s="42" customFormat="1">
      <c r="A63" s="238" t="s">
        <v>171</v>
      </c>
      <c r="B63" s="113" t="s">
        <v>421</v>
      </c>
      <c r="C63" s="741">
        <f>100000</f>
        <v>100000</v>
      </c>
      <c r="E63" s="748"/>
      <c r="F63" s="748"/>
      <c r="G63" s="748"/>
    </row>
    <row r="64" spans="1:7" s="42" customFormat="1">
      <c r="A64" s="238" t="s">
        <v>218</v>
      </c>
      <c r="B64" s="113" t="s">
        <v>298</v>
      </c>
      <c r="C64" s="741"/>
      <c r="E64" s="748"/>
      <c r="F64" s="748"/>
      <c r="G64" s="748"/>
    </row>
    <row r="65" spans="1:7" s="42" customFormat="1" ht="13.5" thickBot="1">
      <c r="A65" s="240" t="s">
        <v>296</v>
      </c>
      <c r="B65" s="241" t="s">
        <v>299</v>
      </c>
      <c r="C65" s="741"/>
      <c r="E65" s="748"/>
      <c r="F65" s="748"/>
      <c r="G65" s="748"/>
    </row>
    <row r="66" spans="1:7" s="42" customFormat="1" ht="13.5" thickBot="1">
      <c r="A66" s="243" t="s">
        <v>472</v>
      </c>
      <c r="B66" s="236" t="s">
        <v>300</v>
      </c>
      <c r="C66" s="583">
        <f>+C9+C16+C23+C30+C38+C50+C56+C61</f>
        <v>618294461</v>
      </c>
      <c r="E66" s="748"/>
      <c r="F66" s="748"/>
      <c r="G66" s="748"/>
    </row>
    <row r="67" spans="1:7" s="42" customFormat="1" ht="13.5" thickBot="1">
      <c r="A67" s="244" t="s">
        <v>301</v>
      </c>
      <c r="B67" s="242" t="s">
        <v>302</v>
      </c>
      <c r="C67" s="582">
        <f>SUM(C68:C70)</f>
        <v>0</v>
      </c>
      <c r="E67" s="748"/>
      <c r="F67" s="748"/>
      <c r="G67" s="748"/>
    </row>
    <row r="68" spans="1:7" s="42" customFormat="1">
      <c r="A68" s="237" t="s">
        <v>333</v>
      </c>
      <c r="B68" s="112" t="s">
        <v>303</v>
      </c>
      <c r="C68" s="741"/>
      <c r="E68" s="748"/>
      <c r="F68" s="748"/>
      <c r="G68" s="748"/>
    </row>
    <row r="69" spans="1:7" s="42" customFormat="1">
      <c r="A69" s="238" t="s">
        <v>342</v>
      </c>
      <c r="B69" s="113" t="s">
        <v>304</v>
      </c>
      <c r="C69" s="741"/>
      <c r="E69" s="748"/>
      <c r="F69" s="748"/>
      <c r="G69" s="748"/>
    </row>
    <row r="70" spans="1:7" s="42" customFormat="1" ht="13.5" thickBot="1">
      <c r="A70" s="240" t="s">
        <v>343</v>
      </c>
      <c r="B70" s="245" t="s">
        <v>457</v>
      </c>
      <c r="C70" s="741"/>
      <c r="E70" s="748"/>
      <c r="F70" s="748"/>
      <c r="G70" s="748"/>
    </row>
    <row r="71" spans="1:7" s="42" customFormat="1" ht="13.5" thickBot="1">
      <c r="A71" s="244" t="s">
        <v>306</v>
      </c>
      <c r="B71" s="242" t="s">
        <v>307</v>
      </c>
      <c r="C71" s="582">
        <f>SUM(C72:C75)</f>
        <v>0</v>
      </c>
      <c r="E71" s="748"/>
      <c r="F71" s="748"/>
      <c r="G71" s="748"/>
    </row>
    <row r="72" spans="1:7" s="42" customFormat="1">
      <c r="A72" s="237" t="s">
        <v>140</v>
      </c>
      <c r="B72" s="112" t="s">
        <v>308</v>
      </c>
      <c r="C72" s="741"/>
      <c r="E72" s="748"/>
      <c r="F72" s="748"/>
      <c r="G72" s="748"/>
    </row>
    <row r="73" spans="1:7" s="42" customFormat="1">
      <c r="A73" s="238" t="s">
        <v>141</v>
      </c>
      <c r="B73" s="113" t="s">
        <v>309</v>
      </c>
      <c r="C73" s="741"/>
      <c r="E73" s="748"/>
      <c r="F73" s="748"/>
      <c r="G73" s="748"/>
    </row>
    <row r="74" spans="1:7" s="42" customFormat="1">
      <c r="A74" s="238" t="s">
        <v>334</v>
      </c>
      <c r="B74" s="113" t="s">
        <v>310</v>
      </c>
      <c r="C74" s="741"/>
      <c r="E74" s="748"/>
      <c r="F74" s="748"/>
      <c r="G74" s="748"/>
    </row>
    <row r="75" spans="1:7" s="42" customFormat="1" ht="13.5" thickBot="1">
      <c r="A75" s="240" t="s">
        <v>335</v>
      </c>
      <c r="B75" s="241" t="s">
        <v>311</v>
      </c>
      <c r="C75" s="741"/>
      <c r="E75" s="748"/>
      <c r="F75" s="748"/>
      <c r="G75" s="748"/>
    </row>
    <row r="76" spans="1:7" s="42" customFormat="1" ht="13.5" thickBot="1">
      <c r="A76" s="244" t="s">
        <v>312</v>
      </c>
      <c r="B76" s="242" t="s">
        <v>313</v>
      </c>
      <c r="C76" s="582">
        <f>SUM(C77:C78)</f>
        <v>541000000</v>
      </c>
      <c r="E76" s="748"/>
      <c r="F76" s="748"/>
      <c r="G76" s="748"/>
    </row>
    <row r="77" spans="1:7" s="42" customFormat="1">
      <c r="A77" s="237" t="s">
        <v>336</v>
      </c>
      <c r="B77" s="112" t="s">
        <v>314</v>
      </c>
      <c r="C77" s="741">
        <v>541000000</v>
      </c>
      <c r="E77" s="748"/>
      <c r="F77" s="748"/>
      <c r="G77" s="748"/>
    </row>
    <row r="78" spans="1:7" s="42" customFormat="1" ht="13.5" thickBot="1">
      <c r="A78" s="240" t="s">
        <v>337</v>
      </c>
      <c r="B78" s="241" t="s">
        <v>315</v>
      </c>
      <c r="C78" s="741"/>
      <c r="E78" s="748"/>
      <c r="F78" s="748"/>
      <c r="G78" s="748"/>
    </row>
    <row r="79" spans="1:7" s="42" customFormat="1" ht="13.5" thickBot="1">
      <c r="A79" s="244" t="s">
        <v>316</v>
      </c>
      <c r="B79" s="242" t="s">
        <v>317</v>
      </c>
      <c r="C79" s="582">
        <f>SUM(C80:C82)</f>
        <v>0</v>
      </c>
      <c r="E79" s="748"/>
      <c r="F79" s="748"/>
      <c r="G79" s="748"/>
    </row>
    <row r="80" spans="1:7" s="42" customFormat="1">
      <c r="A80" s="237" t="s">
        <v>338</v>
      </c>
      <c r="B80" s="112" t="s">
        <v>318</v>
      </c>
      <c r="C80" s="741"/>
      <c r="E80" s="748"/>
      <c r="F80" s="748"/>
      <c r="G80" s="748"/>
    </row>
    <row r="81" spans="1:7" s="42" customFormat="1">
      <c r="A81" s="238" t="s">
        <v>339</v>
      </c>
      <c r="B81" s="113" t="s">
        <v>319</v>
      </c>
      <c r="C81" s="741"/>
      <c r="E81" s="748"/>
      <c r="F81" s="748"/>
      <c r="G81" s="748"/>
    </row>
    <row r="82" spans="1:7" s="42" customFormat="1" ht="13.5" thickBot="1">
      <c r="A82" s="240" t="s">
        <v>340</v>
      </c>
      <c r="B82" s="241" t="s">
        <v>320</v>
      </c>
      <c r="C82" s="741"/>
      <c r="E82" s="748"/>
      <c r="F82" s="748"/>
      <c r="G82" s="748"/>
    </row>
    <row r="83" spans="1:7" s="42" customFormat="1" ht="13.5" thickBot="1">
      <c r="A83" s="244" t="s">
        <v>321</v>
      </c>
      <c r="B83" s="242" t="s">
        <v>341</v>
      </c>
      <c r="C83" s="582">
        <f>SUM(C84:C87)</f>
        <v>0</v>
      </c>
      <c r="E83" s="748"/>
      <c r="F83" s="748"/>
      <c r="G83" s="748"/>
    </row>
    <row r="84" spans="1:7" s="42" customFormat="1">
      <c r="A84" s="246" t="s">
        <v>322</v>
      </c>
      <c r="B84" s="112" t="s">
        <v>323</v>
      </c>
      <c r="C84" s="741"/>
      <c r="E84" s="748"/>
      <c r="F84" s="748"/>
      <c r="G84" s="748"/>
    </row>
    <row r="85" spans="1:7" s="42" customFormat="1">
      <c r="A85" s="247" t="s">
        <v>324</v>
      </c>
      <c r="B85" s="113" t="s">
        <v>325</v>
      </c>
      <c r="C85" s="741"/>
      <c r="E85" s="748"/>
      <c r="F85" s="748"/>
      <c r="G85" s="748"/>
    </row>
    <row r="86" spans="1:7" s="42" customFormat="1">
      <c r="A86" s="247" t="s">
        <v>326</v>
      </c>
      <c r="B86" s="113" t="s">
        <v>327</v>
      </c>
      <c r="C86" s="741"/>
      <c r="E86" s="748"/>
      <c r="F86" s="748"/>
      <c r="G86" s="748"/>
    </row>
    <row r="87" spans="1:7" s="42" customFormat="1" ht="13.5" thickBot="1">
      <c r="A87" s="248" t="s">
        <v>328</v>
      </c>
      <c r="B87" s="241" t="s">
        <v>329</v>
      </c>
      <c r="C87" s="741"/>
      <c r="E87" s="748"/>
      <c r="F87" s="748"/>
      <c r="G87" s="748"/>
    </row>
    <row r="88" spans="1:7" s="42" customFormat="1" ht="13.5" thickBot="1">
      <c r="A88" s="244" t="s">
        <v>330</v>
      </c>
      <c r="B88" s="242" t="s">
        <v>471</v>
      </c>
      <c r="C88" s="640"/>
      <c r="E88" s="748"/>
      <c r="F88" s="748"/>
      <c r="G88" s="748"/>
    </row>
    <row r="89" spans="1:7" s="42" customFormat="1" ht="13.5" thickBot="1">
      <c r="A89" s="244" t="s">
        <v>332</v>
      </c>
      <c r="B89" s="242" t="s">
        <v>331</v>
      </c>
      <c r="C89" s="640"/>
      <c r="E89" s="748"/>
      <c r="F89" s="748"/>
      <c r="G89" s="748"/>
    </row>
    <row r="90" spans="1:7" s="42" customFormat="1" ht="13.5" thickBot="1">
      <c r="A90" s="244" t="s">
        <v>344</v>
      </c>
      <c r="B90" s="249" t="s">
        <v>474</v>
      </c>
      <c r="C90" s="583">
        <f>+C67+C71+C76+C79+C83+C89+C88</f>
        <v>541000000</v>
      </c>
      <c r="E90" s="748"/>
      <c r="F90" s="748"/>
      <c r="G90" s="748"/>
    </row>
    <row r="91" spans="1:7" s="42" customFormat="1" ht="13.5" thickBot="1">
      <c r="A91" s="627" t="s">
        <v>473</v>
      </c>
      <c r="B91" s="251" t="s">
        <v>475</v>
      </c>
      <c r="C91" s="583">
        <f>+C66+C90</f>
        <v>1159294461</v>
      </c>
      <c r="E91" s="748"/>
      <c r="F91" s="748"/>
      <c r="G91" s="748"/>
    </row>
    <row r="92" spans="1:7" s="42" customFormat="1">
      <c r="A92" s="628"/>
      <c r="B92" s="629"/>
      <c r="C92" s="641"/>
      <c r="E92" s="748"/>
      <c r="F92" s="748"/>
      <c r="G92" s="748"/>
    </row>
    <row r="93" spans="1:7">
      <c r="A93" s="776" t="s">
        <v>42</v>
      </c>
      <c r="B93" s="776"/>
      <c r="C93" s="744"/>
    </row>
    <row r="94" spans="1:7" s="751" customFormat="1" ht="14.25" thickBot="1">
      <c r="A94" s="777" t="s">
        <v>143</v>
      </c>
      <c r="B94" s="777"/>
      <c r="C94" s="642"/>
      <c r="E94" s="756"/>
      <c r="F94" s="756"/>
      <c r="G94" s="756"/>
    </row>
    <row r="95" spans="1:7" ht="26.25" thickBot="1">
      <c r="A95" s="232" t="s">
        <v>64</v>
      </c>
      <c r="B95" s="233" t="s">
        <v>43</v>
      </c>
      <c r="C95" s="643" t="s">
        <v>692</v>
      </c>
    </row>
    <row r="96" spans="1:7" s="42" customFormat="1" ht="13.5" thickBot="1">
      <c r="A96" s="232" t="s">
        <v>483</v>
      </c>
      <c r="B96" s="233" t="s">
        <v>484</v>
      </c>
      <c r="C96" s="643" t="s">
        <v>485</v>
      </c>
      <c r="E96" s="748"/>
      <c r="F96" s="748"/>
      <c r="G96" s="748"/>
    </row>
    <row r="97" spans="1:3" ht="13.5" thickBot="1">
      <c r="A97" s="252" t="s">
        <v>14</v>
      </c>
      <c r="B97" s="253" t="s">
        <v>631</v>
      </c>
      <c r="C97" s="572">
        <f>C98+C99+C100+C101+C102+C115</f>
        <v>753411780</v>
      </c>
    </row>
    <row r="98" spans="1:3">
      <c r="A98" s="254" t="s">
        <v>93</v>
      </c>
      <c r="B98" s="255" t="s">
        <v>44</v>
      </c>
      <c r="C98" s="573">
        <f>81039317+78369300+21392976</f>
        <v>180801593</v>
      </c>
    </row>
    <row r="99" spans="1:3">
      <c r="A99" s="238" t="s">
        <v>94</v>
      </c>
      <c r="B99" s="256" t="s">
        <v>172</v>
      </c>
      <c r="C99" s="574">
        <f>17133121+15968871+4668631</f>
        <v>37770623</v>
      </c>
    </row>
    <row r="100" spans="1:3">
      <c r="A100" s="238" t="s">
        <v>95</v>
      </c>
      <c r="B100" s="256" t="s">
        <v>131</v>
      </c>
      <c r="C100" s="752">
        <f>263854593+27824468+29148920</f>
        <v>320827981</v>
      </c>
    </row>
    <row r="101" spans="1:3">
      <c r="A101" s="238" t="s">
        <v>96</v>
      </c>
      <c r="B101" s="257" t="s">
        <v>173</v>
      </c>
      <c r="C101" s="575">
        <f>7330000</f>
        <v>7330000</v>
      </c>
    </row>
    <row r="102" spans="1:3">
      <c r="A102" s="238" t="s">
        <v>107</v>
      </c>
      <c r="B102" s="258" t="s">
        <v>174</v>
      </c>
      <c r="C102" s="575">
        <f>C103+C104+C105+C106+C107+C108+C109+C110+C111+C112+C113+C114</f>
        <v>173511355</v>
      </c>
    </row>
    <row r="103" spans="1:3">
      <c r="A103" s="238" t="s">
        <v>97</v>
      </c>
      <c r="B103" s="256" t="s">
        <v>438</v>
      </c>
      <c r="C103" s="575"/>
    </row>
    <row r="104" spans="1:3">
      <c r="A104" s="238" t="s">
        <v>98</v>
      </c>
      <c r="B104" s="259" t="s">
        <v>437</v>
      </c>
      <c r="C104" s="575"/>
    </row>
    <row r="105" spans="1:3">
      <c r="A105" s="238" t="s">
        <v>108</v>
      </c>
      <c r="B105" s="259" t="s">
        <v>436</v>
      </c>
      <c r="C105" s="575">
        <v>1505503</v>
      </c>
    </row>
    <row r="106" spans="1:3">
      <c r="A106" s="238" t="s">
        <v>109</v>
      </c>
      <c r="B106" s="260" t="s">
        <v>347</v>
      </c>
      <c r="C106" s="575"/>
    </row>
    <row r="107" spans="1:3">
      <c r="A107" s="238" t="s">
        <v>110</v>
      </c>
      <c r="B107" s="261" t="s">
        <v>348</v>
      </c>
      <c r="C107" s="575"/>
    </row>
    <row r="108" spans="1:3">
      <c r="A108" s="238" t="s">
        <v>111</v>
      </c>
      <c r="B108" s="261" t="s">
        <v>349</v>
      </c>
      <c r="C108" s="575"/>
    </row>
    <row r="109" spans="1:3">
      <c r="A109" s="238" t="s">
        <v>113</v>
      </c>
      <c r="B109" s="260" t="s">
        <v>350</v>
      </c>
      <c r="C109" s="575">
        <v>129940852</v>
      </c>
    </row>
    <row r="110" spans="1:3">
      <c r="A110" s="238" t="s">
        <v>175</v>
      </c>
      <c r="B110" s="260" t="s">
        <v>351</v>
      </c>
      <c r="C110" s="575"/>
    </row>
    <row r="111" spans="1:3">
      <c r="A111" s="238" t="s">
        <v>345</v>
      </c>
      <c r="B111" s="261" t="s">
        <v>352</v>
      </c>
      <c r="C111" s="575"/>
    </row>
    <row r="112" spans="1:3">
      <c r="A112" s="262" t="s">
        <v>346</v>
      </c>
      <c r="B112" s="259" t="s">
        <v>353</v>
      </c>
      <c r="C112" s="575"/>
    </row>
    <row r="113" spans="1:3">
      <c r="A113" s="238" t="s">
        <v>434</v>
      </c>
      <c r="B113" s="259" t="s">
        <v>354</v>
      </c>
      <c r="C113" s="575"/>
    </row>
    <row r="114" spans="1:3">
      <c r="A114" s="240" t="s">
        <v>435</v>
      </c>
      <c r="B114" s="259" t="s">
        <v>355</v>
      </c>
      <c r="C114" s="575">
        <f>42065000</f>
        <v>42065000</v>
      </c>
    </row>
    <row r="115" spans="1:3">
      <c r="A115" s="238" t="s">
        <v>439</v>
      </c>
      <c r="B115" s="257" t="s">
        <v>45</v>
      </c>
      <c r="C115" s="574">
        <f>C116+C117</f>
        <v>33170228</v>
      </c>
    </row>
    <row r="116" spans="1:3">
      <c r="A116" s="238" t="s">
        <v>440</v>
      </c>
      <c r="B116" s="256" t="s">
        <v>442</v>
      </c>
      <c r="C116" s="574">
        <v>4078482</v>
      </c>
    </row>
    <row r="117" spans="1:3" ht="13.5" thickBot="1">
      <c r="A117" s="263" t="s">
        <v>441</v>
      </c>
      <c r="B117" s="264" t="s">
        <v>443</v>
      </c>
      <c r="C117" s="577">
        <f>29091746</f>
        <v>29091746</v>
      </c>
    </row>
    <row r="118" spans="1:3" ht="13.5" thickBot="1">
      <c r="A118" s="265" t="s">
        <v>15</v>
      </c>
      <c r="B118" s="266" t="s">
        <v>632</v>
      </c>
      <c r="C118" s="578">
        <f>+C119+C121+C123</f>
        <v>397774961</v>
      </c>
    </row>
    <row r="119" spans="1:3">
      <c r="A119" s="237" t="s">
        <v>99</v>
      </c>
      <c r="B119" s="256" t="s">
        <v>217</v>
      </c>
      <c r="C119" s="579">
        <f>304198564+825500+2513000</f>
        <v>307537064</v>
      </c>
    </row>
    <row r="120" spans="1:3">
      <c r="A120" s="237" t="s">
        <v>100</v>
      </c>
      <c r="B120" s="267" t="s">
        <v>359</v>
      </c>
      <c r="C120" s="579"/>
    </row>
    <row r="121" spans="1:3">
      <c r="A121" s="237" t="s">
        <v>101</v>
      </c>
      <c r="B121" s="267" t="s">
        <v>176</v>
      </c>
      <c r="C121" s="574">
        <f>89587897</f>
        <v>89587897</v>
      </c>
    </row>
    <row r="122" spans="1:3">
      <c r="A122" s="237" t="s">
        <v>102</v>
      </c>
      <c r="B122" s="267" t="s">
        <v>360</v>
      </c>
      <c r="C122" s="580"/>
    </row>
    <row r="123" spans="1:3">
      <c r="A123" s="237" t="s">
        <v>103</v>
      </c>
      <c r="B123" s="241" t="s">
        <v>219</v>
      </c>
      <c r="C123" s="580">
        <f>C124+C125+C126+C127+C128+C129+C130+C131</f>
        <v>650000</v>
      </c>
    </row>
    <row r="124" spans="1:3">
      <c r="A124" s="237" t="s">
        <v>112</v>
      </c>
      <c r="B124" s="239" t="s">
        <v>422</v>
      </c>
      <c r="C124" s="580"/>
    </row>
    <row r="125" spans="1:3">
      <c r="A125" s="237" t="s">
        <v>114</v>
      </c>
      <c r="B125" s="268" t="s">
        <v>365</v>
      </c>
      <c r="C125" s="580"/>
    </row>
    <row r="126" spans="1:3">
      <c r="A126" s="237" t="s">
        <v>177</v>
      </c>
      <c r="B126" s="261" t="s">
        <v>349</v>
      </c>
      <c r="C126" s="580"/>
    </row>
    <row r="127" spans="1:3">
      <c r="A127" s="237" t="s">
        <v>178</v>
      </c>
      <c r="B127" s="261" t="s">
        <v>364</v>
      </c>
      <c r="C127" s="580"/>
    </row>
    <row r="128" spans="1:3">
      <c r="A128" s="237" t="s">
        <v>179</v>
      </c>
      <c r="B128" s="261" t="s">
        <v>363</v>
      </c>
      <c r="C128" s="580"/>
    </row>
    <row r="129" spans="1:3">
      <c r="A129" s="237" t="s">
        <v>356</v>
      </c>
      <c r="B129" s="261" t="s">
        <v>352</v>
      </c>
      <c r="C129" s="580"/>
    </row>
    <row r="130" spans="1:3">
      <c r="A130" s="237" t="s">
        <v>357</v>
      </c>
      <c r="B130" s="261" t="s">
        <v>362</v>
      </c>
      <c r="C130" s="580"/>
    </row>
    <row r="131" spans="1:3" ht="13.5" thickBot="1">
      <c r="A131" s="262" t="s">
        <v>358</v>
      </c>
      <c r="B131" s="261" t="s">
        <v>361</v>
      </c>
      <c r="C131" s="581">
        <v>650000</v>
      </c>
    </row>
    <row r="132" spans="1:3" ht="13.5" thickBot="1">
      <c r="A132" s="235" t="s">
        <v>16</v>
      </c>
      <c r="B132" s="269" t="s">
        <v>444</v>
      </c>
      <c r="C132" s="582">
        <f>+C97+C118</f>
        <v>1151186741</v>
      </c>
    </row>
    <row r="133" spans="1:3" ht="13.5" thickBot="1">
      <c r="A133" s="235" t="s">
        <v>17</v>
      </c>
      <c r="B133" s="269" t="s">
        <v>445</v>
      </c>
      <c r="C133" s="582">
        <f>+C134+C135+C136</f>
        <v>0</v>
      </c>
    </row>
    <row r="134" spans="1:3">
      <c r="A134" s="237" t="s">
        <v>257</v>
      </c>
      <c r="B134" s="267" t="s">
        <v>452</v>
      </c>
      <c r="C134" s="580"/>
    </row>
    <row r="135" spans="1:3">
      <c r="A135" s="237" t="s">
        <v>260</v>
      </c>
      <c r="B135" s="267" t="s">
        <v>453</v>
      </c>
      <c r="C135" s="580"/>
    </row>
    <row r="136" spans="1:3" ht="13.5" thickBot="1">
      <c r="A136" s="262" t="s">
        <v>261</v>
      </c>
      <c r="B136" s="267" t="s">
        <v>454</v>
      </c>
      <c r="C136" s="580"/>
    </row>
    <row r="137" spans="1:3" ht="13.5" thickBot="1">
      <c r="A137" s="235" t="s">
        <v>18</v>
      </c>
      <c r="B137" s="269" t="s">
        <v>446</v>
      </c>
      <c r="C137" s="582">
        <f>SUM(C138:C143)</f>
        <v>0</v>
      </c>
    </row>
    <row r="138" spans="1:3">
      <c r="A138" s="237" t="s">
        <v>86</v>
      </c>
      <c r="B138" s="270" t="s">
        <v>455</v>
      </c>
      <c r="C138" s="580"/>
    </row>
    <row r="139" spans="1:3">
      <c r="A139" s="237" t="s">
        <v>87</v>
      </c>
      <c r="B139" s="270" t="s">
        <v>447</v>
      </c>
      <c r="C139" s="580"/>
    </row>
    <row r="140" spans="1:3">
      <c r="A140" s="237" t="s">
        <v>88</v>
      </c>
      <c r="B140" s="270" t="s">
        <v>448</v>
      </c>
      <c r="C140" s="580"/>
    </row>
    <row r="141" spans="1:3">
      <c r="A141" s="237" t="s">
        <v>164</v>
      </c>
      <c r="B141" s="270" t="s">
        <v>449</v>
      </c>
      <c r="C141" s="580"/>
    </row>
    <row r="142" spans="1:3">
      <c r="A142" s="237" t="s">
        <v>165</v>
      </c>
      <c r="B142" s="270" t="s">
        <v>450</v>
      </c>
      <c r="C142" s="580"/>
    </row>
    <row r="143" spans="1:3" ht="13.5" thickBot="1">
      <c r="A143" s="262" t="s">
        <v>166</v>
      </c>
      <c r="B143" s="270" t="s">
        <v>451</v>
      </c>
      <c r="C143" s="580"/>
    </row>
    <row r="144" spans="1:3" ht="13.5" thickBot="1">
      <c r="A144" s="235" t="s">
        <v>19</v>
      </c>
      <c r="B144" s="269" t="s">
        <v>459</v>
      </c>
      <c r="C144" s="583">
        <f>+C145+C146+C147+C148</f>
        <v>8107720</v>
      </c>
    </row>
    <row r="145" spans="1:7">
      <c r="A145" s="237" t="s">
        <v>89</v>
      </c>
      <c r="B145" s="270" t="s">
        <v>366</v>
      </c>
      <c r="C145" s="580"/>
    </row>
    <row r="146" spans="1:7">
      <c r="A146" s="237" t="s">
        <v>90</v>
      </c>
      <c r="B146" s="270" t="s">
        <v>367</v>
      </c>
      <c r="C146" s="580">
        <f>8107720</f>
        <v>8107720</v>
      </c>
    </row>
    <row r="147" spans="1:7">
      <c r="A147" s="237" t="s">
        <v>281</v>
      </c>
      <c r="B147" s="270" t="s">
        <v>460</v>
      </c>
      <c r="C147" s="580"/>
    </row>
    <row r="148" spans="1:7" ht="13.5" thickBot="1">
      <c r="A148" s="262" t="s">
        <v>282</v>
      </c>
      <c r="B148" s="271" t="s">
        <v>386</v>
      </c>
      <c r="C148" s="580"/>
    </row>
    <row r="149" spans="1:7" ht="13.5" thickBot="1">
      <c r="A149" s="235" t="s">
        <v>20</v>
      </c>
      <c r="B149" s="269" t="s">
        <v>461</v>
      </c>
      <c r="C149" s="584">
        <f>SUM(C150:C154)</f>
        <v>0</v>
      </c>
    </row>
    <row r="150" spans="1:7">
      <c r="A150" s="237" t="s">
        <v>91</v>
      </c>
      <c r="B150" s="270" t="s">
        <v>456</v>
      </c>
      <c r="C150" s="580"/>
    </row>
    <row r="151" spans="1:7">
      <c r="A151" s="237" t="s">
        <v>92</v>
      </c>
      <c r="B151" s="270" t="s">
        <v>463</v>
      </c>
      <c r="C151" s="580"/>
    </row>
    <row r="152" spans="1:7">
      <c r="A152" s="237" t="s">
        <v>293</v>
      </c>
      <c r="B152" s="270" t="s">
        <v>458</v>
      </c>
      <c r="C152" s="580"/>
    </row>
    <row r="153" spans="1:7">
      <c r="A153" s="237" t="s">
        <v>294</v>
      </c>
      <c r="B153" s="270" t="s">
        <v>464</v>
      </c>
      <c r="C153" s="580"/>
    </row>
    <row r="154" spans="1:7" ht="13.5" thickBot="1">
      <c r="A154" s="237" t="s">
        <v>462</v>
      </c>
      <c r="B154" s="270" t="s">
        <v>465</v>
      </c>
      <c r="C154" s="580"/>
    </row>
    <row r="155" spans="1:7" ht="13.5" thickBot="1">
      <c r="A155" s="235" t="s">
        <v>21</v>
      </c>
      <c r="B155" s="269" t="s">
        <v>466</v>
      </c>
      <c r="C155" s="585"/>
    </row>
    <row r="156" spans="1:7" ht="13.5" thickBot="1">
      <c r="A156" s="235" t="s">
        <v>22</v>
      </c>
      <c r="B156" s="269" t="s">
        <v>541</v>
      </c>
      <c r="C156" s="585"/>
    </row>
    <row r="157" spans="1:7" ht="13.5" thickBot="1">
      <c r="A157" s="235" t="s">
        <v>23</v>
      </c>
      <c r="B157" s="269" t="s">
        <v>469</v>
      </c>
      <c r="C157" s="586">
        <f>+C133+C137+C144+C149+C155+C156</f>
        <v>8107720</v>
      </c>
    </row>
    <row r="158" spans="1:7" s="42" customFormat="1" ht="13.5" thickBot="1">
      <c r="A158" s="273" t="s">
        <v>24</v>
      </c>
      <c r="B158" s="274" t="s">
        <v>468</v>
      </c>
      <c r="C158" s="586">
        <f>+C132+C157</f>
        <v>1159294461</v>
      </c>
      <c r="E158" s="748"/>
      <c r="F158" s="748"/>
      <c r="G158" s="748"/>
    </row>
    <row r="160" spans="1:7">
      <c r="A160" s="753" t="s">
        <v>368</v>
      </c>
      <c r="B160" s="753"/>
      <c r="C160" s="744"/>
    </row>
    <row r="161" spans="1:3" ht="14.25" thickBot="1">
      <c r="A161" s="775" t="s">
        <v>144</v>
      </c>
      <c r="B161" s="775"/>
      <c r="C161" s="562" t="s">
        <v>664</v>
      </c>
    </row>
    <row r="162" spans="1:3" ht="26.25" thickBot="1">
      <c r="A162" s="235">
        <v>1</v>
      </c>
      <c r="B162" s="656" t="s">
        <v>470</v>
      </c>
      <c r="C162" s="582">
        <f>+C66-C132</f>
        <v>-532892280</v>
      </c>
    </row>
    <row r="163" spans="1:3" ht="39" thickBot="1">
      <c r="A163" s="235" t="s">
        <v>15</v>
      </c>
      <c r="B163" s="656" t="s">
        <v>476</v>
      </c>
      <c r="C163" s="582">
        <f>+C90-C157</f>
        <v>532892280</v>
      </c>
    </row>
  </sheetData>
  <mergeCells count="5">
    <mergeCell ref="A161:B161"/>
    <mergeCell ref="A93:B93"/>
    <mergeCell ref="A5:B5"/>
    <mergeCell ref="A6:B6"/>
    <mergeCell ref="A94:B94"/>
  </mergeCells>
  <phoneticPr fontId="0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7" fitToHeight="2" orientation="portrait" r:id="rId1"/>
  <headerFooter alignWithMargins="0">
    <oddHeader>&amp;R&amp;"Times New Roman CE,Félkövér dőlt"&amp;11 1.1. melléklet a 3/2019. (II.28.) önkormányzati rendelethez</oddHeader>
    <oddFooter>&amp;P. oldal, összesen: &amp;N</oddFooter>
  </headerFooter>
  <rowBreaks count="3" manualBreakCount="3">
    <brk id="66" max="2" man="1"/>
    <brk id="91" max="8" man="1"/>
    <brk id="132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FFFF00"/>
  </sheetPr>
  <dimension ref="A1:L59"/>
  <sheetViews>
    <sheetView view="pageLayout" topLeftCell="M23" zoomScaleNormal="100" workbookViewId="0">
      <selection activeCell="N38" sqref="N38"/>
    </sheetView>
  </sheetViews>
  <sheetFormatPr defaultRowHeight="15.75"/>
  <cols>
    <col min="1" max="1" width="118.6640625" style="201" bestFit="1" customWidth="1"/>
    <col min="2" max="2" width="32.1640625" style="201" bestFit="1" customWidth="1"/>
    <col min="3" max="3" width="16" style="193" bestFit="1" customWidth="1"/>
    <col min="4" max="4" width="23" style="193" bestFit="1" customWidth="1"/>
    <col min="5" max="5" width="16.33203125" style="193" bestFit="1" customWidth="1"/>
    <col min="6" max="6" width="22.83203125" style="193" bestFit="1" customWidth="1"/>
    <col min="7" max="7" width="17" style="195" bestFit="1" customWidth="1"/>
    <col min="8" max="8" width="16" style="200" bestFit="1" customWidth="1"/>
    <col min="9" max="9" width="14.33203125" style="193" bestFit="1" customWidth="1"/>
    <col min="10" max="10" width="13.83203125" style="193" bestFit="1" customWidth="1"/>
    <col min="11" max="11" width="16.83203125" style="193" bestFit="1" customWidth="1"/>
    <col min="12" max="12" width="1.1640625" style="193" bestFit="1" customWidth="1"/>
    <col min="13" max="13" width="12.83203125" style="193" customWidth="1"/>
    <col min="14" max="14" width="13.83203125" style="193" customWidth="1"/>
    <col min="15" max="16384" width="9.33203125" style="193"/>
  </cols>
  <sheetData>
    <row r="1" spans="1:12" ht="19.5" customHeight="1">
      <c r="A1" s="800" t="s">
        <v>536</v>
      </c>
      <c r="B1" s="800"/>
      <c r="F1" s="799" t="s">
        <v>694</v>
      </c>
      <c r="G1" s="799"/>
      <c r="H1" s="799"/>
      <c r="I1" s="799"/>
      <c r="J1" s="799"/>
      <c r="K1" s="799"/>
    </row>
    <row r="5" spans="1:12" ht="25.5" customHeight="1">
      <c r="A5" s="798" t="s">
        <v>711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</row>
    <row r="6" spans="1:12" ht="22.5" customHeight="1" thickBot="1">
      <c r="A6" s="194"/>
      <c r="B6" s="194"/>
      <c r="C6" s="195"/>
      <c r="D6" s="195"/>
      <c r="E6" s="195"/>
      <c r="F6" s="195"/>
      <c r="G6" s="711" t="s">
        <v>581</v>
      </c>
      <c r="H6" s="712" t="s">
        <v>581</v>
      </c>
      <c r="I6" s="195"/>
      <c r="J6" s="195"/>
      <c r="K6" s="195"/>
    </row>
    <row r="7" spans="1:12" s="192" customFormat="1" ht="44.25" customHeight="1" thickBot="1">
      <c r="A7" s="196" t="s">
        <v>59</v>
      </c>
      <c r="B7" s="197" t="s">
        <v>616</v>
      </c>
      <c r="C7" s="713" t="s">
        <v>60</v>
      </c>
      <c r="D7" s="713" t="s">
        <v>61</v>
      </c>
      <c r="E7" s="713" t="s">
        <v>676</v>
      </c>
      <c r="F7" s="713" t="s">
        <v>692</v>
      </c>
      <c r="G7" s="714" t="s">
        <v>652</v>
      </c>
      <c r="H7" s="715" t="s">
        <v>608</v>
      </c>
      <c r="I7" s="716" t="s">
        <v>609</v>
      </c>
      <c r="J7" s="716" t="s">
        <v>610</v>
      </c>
      <c r="K7" s="717" t="s">
        <v>607</v>
      </c>
    </row>
    <row r="8" spans="1:12" s="195" customFormat="1" ht="16.5" thickBot="1">
      <c r="A8" s="198" t="s">
        <v>483</v>
      </c>
      <c r="B8" s="199"/>
      <c r="C8" s="718" t="s">
        <v>484</v>
      </c>
      <c r="D8" s="718" t="s">
        <v>485</v>
      </c>
      <c r="E8" s="718" t="s">
        <v>487</v>
      </c>
      <c r="F8" s="719" t="s">
        <v>486</v>
      </c>
      <c r="G8" s="720" t="s">
        <v>489</v>
      </c>
      <c r="H8" s="721"/>
      <c r="I8" s="722"/>
      <c r="J8" s="722"/>
      <c r="K8" s="718"/>
    </row>
    <row r="9" spans="1:12" ht="24.75" customHeight="1">
      <c r="A9" s="411" t="s">
        <v>668</v>
      </c>
      <c r="B9" s="412" t="s">
        <v>618</v>
      </c>
      <c r="C9" s="699">
        <f>(50000*1.27)</f>
        <v>63500</v>
      </c>
      <c r="D9" s="700" t="s">
        <v>698</v>
      </c>
      <c r="E9" s="699"/>
      <c r="F9" s="699">
        <f>(50000*1.27)</f>
        <v>63500</v>
      </c>
      <c r="G9" s="701"/>
      <c r="H9" s="702">
        <f>I9+J9+K9</f>
        <v>63500</v>
      </c>
      <c r="I9" s="699">
        <f>(50000*1.27)</f>
        <v>63500</v>
      </c>
      <c r="J9" s="703"/>
      <c r="K9" s="699"/>
    </row>
    <row r="10" spans="1:12" s="415" customFormat="1" ht="24.75" customHeight="1">
      <c r="A10" s="413" t="s">
        <v>602</v>
      </c>
      <c r="B10" s="414"/>
      <c r="C10" s="705">
        <f>SUM(C9:C9)</f>
        <v>63500</v>
      </c>
      <c r="D10" s="705"/>
      <c r="E10" s="705"/>
      <c r="F10" s="705">
        <f>SUM(F9:F9)</f>
        <v>63500</v>
      </c>
      <c r="G10" s="705"/>
      <c r="H10" s="705">
        <f>SUM(H9:H9)</f>
        <v>63500</v>
      </c>
      <c r="I10" s="705">
        <f>SUM(I9:I9)</f>
        <v>63500</v>
      </c>
      <c r="J10" s="705">
        <f>SUM(J9:J9)</f>
        <v>0</v>
      </c>
      <c r="K10" s="705">
        <f>SUM(K9:K9)</f>
        <v>0</v>
      </c>
    </row>
    <row r="11" spans="1:12" s="415" customFormat="1" ht="24.75" customHeight="1">
      <c r="A11" s="413"/>
      <c r="B11" s="414"/>
      <c r="C11" s="705"/>
      <c r="D11" s="706"/>
      <c r="E11" s="705"/>
      <c r="F11" s="710"/>
      <c r="G11" s="707"/>
      <c r="H11" s="708"/>
      <c r="I11" s="708"/>
      <c r="J11" s="708"/>
      <c r="K11" s="705"/>
    </row>
    <row r="12" spans="1:12">
      <c r="A12" s="411" t="s">
        <v>655</v>
      </c>
      <c r="B12" s="412" t="s">
        <v>656</v>
      </c>
      <c r="C12" s="699">
        <f>(600000*1.27)</f>
        <v>762000</v>
      </c>
      <c r="D12" s="700" t="s">
        <v>698</v>
      </c>
      <c r="E12" s="699"/>
      <c r="F12" s="699">
        <f>(600000*1.27)</f>
        <v>762000</v>
      </c>
      <c r="G12" s="704"/>
      <c r="H12" s="702">
        <f t="shared" ref="H12:H18" si="0">I12+J12+K12</f>
        <v>762000</v>
      </c>
      <c r="I12" s="699">
        <f>(600000*1.27)</f>
        <v>762000</v>
      </c>
      <c r="J12" s="703"/>
      <c r="K12" s="699"/>
    </row>
    <row r="13" spans="1:12">
      <c r="A13" s="411" t="s">
        <v>704</v>
      </c>
      <c r="B13" s="412" t="s">
        <v>617</v>
      </c>
      <c r="C13" s="699">
        <f>(200000*1.27)</f>
        <v>254000</v>
      </c>
      <c r="D13" s="700" t="s">
        <v>698</v>
      </c>
      <c r="E13" s="699"/>
      <c r="F13" s="699">
        <f>(200000*1.27)</f>
        <v>254000</v>
      </c>
      <c r="G13" s="704"/>
      <c r="H13" s="702">
        <f t="shared" si="0"/>
        <v>254000</v>
      </c>
      <c r="I13" s="699">
        <f>(200000*1.27)</f>
        <v>254000</v>
      </c>
      <c r="J13" s="703"/>
      <c r="K13" s="699"/>
    </row>
    <row r="14" spans="1:12">
      <c r="A14" s="411" t="s">
        <v>705</v>
      </c>
      <c r="B14" s="412" t="s">
        <v>617</v>
      </c>
      <c r="C14" s="699">
        <f>(2100000*1.27)</f>
        <v>2667000</v>
      </c>
      <c r="D14" s="700" t="s">
        <v>698</v>
      </c>
      <c r="E14" s="699"/>
      <c r="F14" s="699">
        <f>(2100000*1.27)</f>
        <v>2667000</v>
      </c>
      <c r="G14" s="704"/>
      <c r="H14" s="702">
        <f t="shared" si="0"/>
        <v>2667000</v>
      </c>
      <c r="I14" s="699">
        <f>(2100000*1.27)</f>
        <v>2667000</v>
      </c>
      <c r="J14" s="703"/>
      <c r="K14" s="699"/>
    </row>
    <row r="15" spans="1:12">
      <c r="A15" s="411" t="s">
        <v>657</v>
      </c>
      <c r="B15" s="412" t="s">
        <v>617</v>
      </c>
      <c r="C15" s="699">
        <f>(2890000*1.27)</f>
        <v>3670300</v>
      </c>
      <c r="D15" s="700" t="s">
        <v>700</v>
      </c>
      <c r="E15" s="699"/>
      <c r="F15" s="699">
        <f>(2890000*1.27)</f>
        <v>3670300</v>
      </c>
      <c r="G15" s="704"/>
      <c r="H15" s="702">
        <f t="shared" si="0"/>
        <v>3670300</v>
      </c>
      <c r="I15" s="699">
        <f>(2890000*1.27)</f>
        <v>3670300</v>
      </c>
      <c r="J15" s="703"/>
      <c r="K15" s="703"/>
    </row>
    <row r="16" spans="1:12" ht="31.5">
      <c r="A16" s="411" t="s">
        <v>636</v>
      </c>
      <c r="B16" s="412" t="s">
        <v>617</v>
      </c>
      <c r="C16" s="699">
        <f>(124110246+32307664+1242604)</f>
        <v>157660514</v>
      </c>
      <c r="D16" s="700" t="s">
        <v>700</v>
      </c>
      <c r="E16" s="699"/>
      <c r="F16" s="699">
        <f>(124110246+32307664+1242604)</f>
        <v>157660514</v>
      </c>
      <c r="G16" s="701"/>
      <c r="H16" s="702">
        <f>I16+J16+K16</f>
        <v>157660514</v>
      </c>
      <c r="I16" s="703"/>
      <c r="J16" s="703"/>
      <c r="K16" s="699">
        <f>(124110246+32307664+1242604)</f>
        <v>157660514</v>
      </c>
      <c r="L16" s="774"/>
    </row>
    <row r="17" spans="1:11">
      <c r="A17" s="411" t="s">
        <v>633</v>
      </c>
      <c r="B17" s="412" t="s">
        <v>617</v>
      </c>
      <c r="C17" s="699">
        <f>(44017728+270000)</f>
        <v>44287728</v>
      </c>
      <c r="D17" s="700" t="s">
        <v>700</v>
      </c>
      <c r="E17" s="699"/>
      <c r="F17" s="699">
        <f>(44017728+270000)</f>
        <v>44287728</v>
      </c>
      <c r="G17" s="701"/>
      <c r="H17" s="702">
        <f>I17+J17+K17</f>
        <v>44287728</v>
      </c>
      <c r="I17" s="703"/>
      <c r="J17" s="703"/>
      <c r="K17" s="699">
        <f>(44017728+270000)</f>
        <v>44287728</v>
      </c>
    </row>
    <row r="18" spans="1:11" ht="24.75" customHeight="1">
      <c r="A18" s="411" t="s">
        <v>659</v>
      </c>
      <c r="B18" s="412" t="s">
        <v>618</v>
      </c>
      <c r="C18" s="699">
        <f>(8000000*1.27)</f>
        <v>10160000</v>
      </c>
      <c r="D18" s="700" t="s">
        <v>698</v>
      </c>
      <c r="E18" s="699"/>
      <c r="F18" s="699">
        <f>(8000000*1.27)</f>
        <v>10160000</v>
      </c>
      <c r="G18" s="704"/>
      <c r="H18" s="702">
        <f t="shared" si="0"/>
        <v>10160000</v>
      </c>
      <c r="I18" s="699">
        <f>(8000000*1.27)</f>
        <v>10160000</v>
      </c>
      <c r="J18" s="703"/>
      <c r="K18" s="699"/>
    </row>
    <row r="19" spans="1:11" ht="24.75" customHeight="1">
      <c r="A19" s="411" t="s">
        <v>666</v>
      </c>
      <c r="B19" s="412" t="s">
        <v>615</v>
      </c>
      <c r="C19" s="699">
        <f>(8725067+62322)</f>
        <v>8787389</v>
      </c>
      <c r="D19" s="700" t="s">
        <v>700</v>
      </c>
      <c r="E19" s="699"/>
      <c r="F19" s="699">
        <f>(8725067+62322)</f>
        <v>8787389</v>
      </c>
      <c r="G19" s="701"/>
      <c r="H19" s="702">
        <f>I19+J19+K19</f>
        <v>8787389</v>
      </c>
      <c r="I19" s="703"/>
      <c r="J19" s="703"/>
      <c r="K19" s="699">
        <f>(8725067+62322)</f>
        <v>8787389</v>
      </c>
    </row>
    <row r="20" spans="1:11" ht="24.75" customHeight="1">
      <c r="A20" s="411" t="s">
        <v>667</v>
      </c>
      <c r="B20" s="412" t="s">
        <v>615</v>
      </c>
      <c r="C20" s="699">
        <f>6326590</f>
        <v>6326590</v>
      </c>
      <c r="D20" s="700" t="s">
        <v>700</v>
      </c>
      <c r="E20" s="699"/>
      <c r="F20" s="699">
        <f>6326590</f>
        <v>6326590</v>
      </c>
      <c r="G20" s="701"/>
      <c r="H20" s="702">
        <f>I20+J20+K20</f>
        <v>6326590</v>
      </c>
      <c r="I20" s="699">
        <f>6326590</f>
        <v>6326590</v>
      </c>
      <c r="J20" s="703"/>
    </row>
    <row r="21" spans="1:11" ht="24.75" customHeight="1">
      <c r="A21" s="411" t="s">
        <v>671</v>
      </c>
      <c r="B21" s="412" t="s">
        <v>672</v>
      </c>
      <c r="C21" s="699">
        <f>(211000*1.27)</f>
        <v>267970</v>
      </c>
      <c r="D21" s="700" t="s">
        <v>698</v>
      </c>
      <c r="E21" s="699"/>
      <c r="F21" s="699">
        <f>(211000*1.27)</f>
        <v>267970</v>
      </c>
      <c r="G21" s="701"/>
      <c r="H21" s="702">
        <f>I21+J21+K21</f>
        <v>267970</v>
      </c>
      <c r="I21" s="699"/>
      <c r="J21" s="703"/>
      <c r="K21" s="699">
        <f>(211000*1.27)</f>
        <v>267970</v>
      </c>
    </row>
    <row r="22" spans="1:11" s="415" customFormat="1" ht="24.75" customHeight="1">
      <c r="A22" s="413" t="s">
        <v>603</v>
      </c>
      <c r="B22" s="414"/>
      <c r="C22" s="705">
        <f>SUM(C12:C21)</f>
        <v>234843491</v>
      </c>
      <c r="D22" s="705"/>
      <c r="E22" s="705"/>
      <c r="F22" s="705">
        <f>SUM(F12:F21)</f>
        <v>234843491</v>
      </c>
      <c r="G22" s="705"/>
      <c r="H22" s="705">
        <f>SUM(H12:H21)</f>
        <v>234843491</v>
      </c>
      <c r="I22" s="705">
        <f>SUM(I12:I21)</f>
        <v>23839890</v>
      </c>
      <c r="J22" s="705">
        <f>SUM(J12:J21)</f>
        <v>0</v>
      </c>
      <c r="K22" s="705">
        <f>SUM(K12:K21)</f>
        <v>211003601</v>
      </c>
    </row>
    <row r="23" spans="1:11" ht="24.75" customHeight="1">
      <c r="A23" s="411"/>
      <c r="B23" s="412"/>
      <c r="C23" s="699"/>
      <c r="D23" s="700"/>
      <c r="E23" s="699"/>
      <c r="F23" s="699"/>
      <c r="G23" s="704"/>
      <c r="H23" s="702"/>
      <c r="I23" s="703"/>
      <c r="J23" s="703"/>
      <c r="K23" s="699"/>
    </row>
    <row r="24" spans="1:11" ht="24.75" customHeight="1">
      <c r="A24" s="411" t="s">
        <v>599</v>
      </c>
      <c r="B24" s="412" t="s">
        <v>620</v>
      </c>
      <c r="C24" s="699">
        <f>(600000*1.27)</f>
        <v>762000</v>
      </c>
      <c r="D24" s="700" t="s">
        <v>698</v>
      </c>
      <c r="E24" s="699"/>
      <c r="F24" s="699">
        <f>(600000*1.27)</f>
        <v>762000</v>
      </c>
      <c r="G24" s="704"/>
      <c r="H24" s="702">
        <f>I24+J24+K24</f>
        <v>762000</v>
      </c>
      <c r="I24" s="699">
        <f>(600000*1.27)</f>
        <v>762000</v>
      </c>
      <c r="J24" s="703"/>
      <c r="K24" s="699"/>
    </row>
    <row r="25" spans="1:11" ht="24.75" customHeight="1">
      <c r="A25" s="411" t="s">
        <v>600</v>
      </c>
      <c r="B25" s="412" t="s">
        <v>621</v>
      </c>
      <c r="C25" s="699">
        <f>(50000*1.27)</f>
        <v>63500</v>
      </c>
      <c r="D25" s="700" t="s">
        <v>698</v>
      </c>
      <c r="E25" s="699"/>
      <c r="F25" s="699">
        <f>(50000*1.27)</f>
        <v>63500</v>
      </c>
      <c r="G25" s="704"/>
      <c r="H25" s="702">
        <f>I25+J25+K25</f>
        <v>63500</v>
      </c>
      <c r="I25" s="699">
        <f>(50000*1.27)</f>
        <v>63500</v>
      </c>
      <c r="J25" s="703"/>
      <c r="K25" s="699"/>
    </row>
    <row r="26" spans="1:11" s="415" customFormat="1" ht="24.75" customHeight="1">
      <c r="A26" s="413" t="s">
        <v>604</v>
      </c>
      <c r="B26" s="414"/>
      <c r="C26" s="705">
        <f>SUM(C24:C25)</f>
        <v>825500</v>
      </c>
      <c r="D26" s="705">
        <f>SUM(D24:D25)</f>
        <v>0</v>
      </c>
      <c r="E26" s="705">
        <f>SUM(E24:E25)</f>
        <v>0</v>
      </c>
      <c r="F26" s="705">
        <f>SUM(F24:F25)</f>
        <v>825500</v>
      </c>
      <c r="G26" s="705"/>
      <c r="H26" s="705">
        <f>SUM(H24:H25)</f>
        <v>825500</v>
      </c>
      <c r="I26" s="705">
        <f>SUM(I24:I25)</f>
        <v>825500</v>
      </c>
      <c r="J26" s="705">
        <f>SUM(J24:J25)</f>
        <v>0</v>
      </c>
      <c r="K26" s="705">
        <f>SUM(K24:K25)</f>
        <v>0</v>
      </c>
    </row>
    <row r="27" spans="1:11" ht="24.75" customHeight="1">
      <c r="A27" s="411"/>
      <c r="B27" s="412"/>
      <c r="C27" s="699"/>
      <c r="D27" s="700"/>
      <c r="E27" s="699"/>
      <c r="F27" s="699"/>
      <c r="G27" s="704"/>
      <c r="H27" s="702"/>
      <c r="I27" s="703"/>
      <c r="J27" s="703"/>
      <c r="K27" s="699"/>
    </row>
    <row r="28" spans="1:11">
      <c r="A28" s="411" t="s">
        <v>702</v>
      </c>
      <c r="B28" s="412" t="s">
        <v>619</v>
      </c>
      <c r="C28" s="699">
        <f>(1500000*1.27)</f>
        <v>1905000</v>
      </c>
      <c r="D28" s="700" t="s">
        <v>698</v>
      </c>
      <c r="E28" s="699"/>
      <c r="F28" s="699">
        <f>(1500000*1.27)</f>
        <v>1905000</v>
      </c>
      <c r="G28" s="704"/>
      <c r="H28" s="702">
        <f>I28+J28+K28</f>
        <v>1905000.17</v>
      </c>
      <c r="I28" s="699">
        <f>(1500000*1.27)</f>
        <v>1905000</v>
      </c>
      <c r="J28" s="703">
        <f>(2162371*1.27)-(2162371+583840)</f>
        <v>0.16999999992549419</v>
      </c>
      <c r="K28" s="699"/>
    </row>
    <row r="29" spans="1:11" ht="24.75" customHeight="1">
      <c r="A29" s="411" t="s">
        <v>598</v>
      </c>
      <c r="B29" s="412" t="s">
        <v>620</v>
      </c>
      <c r="C29" s="699">
        <f>(300000*1.27)</f>
        <v>381000</v>
      </c>
      <c r="D29" s="700" t="s">
        <v>698</v>
      </c>
      <c r="E29" s="699"/>
      <c r="F29" s="699">
        <f>(300000*1.27)</f>
        <v>381000</v>
      </c>
      <c r="G29" s="704"/>
      <c r="H29" s="702">
        <f t="shared" ref="H29:H40" si="1">I29+J29+K29</f>
        <v>381000</v>
      </c>
      <c r="I29" s="699">
        <f>(300000*1.27)</f>
        <v>381000</v>
      </c>
      <c r="J29" s="703"/>
      <c r="K29" s="699"/>
    </row>
    <row r="30" spans="1:11" ht="24.75" customHeight="1">
      <c r="A30" s="411" t="s">
        <v>706</v>
      </c>
      <c r="B30" s="412" t="s">
        <v>617</v>
      </c>
      <c r="C30" s="699">
        <f>(1200000*1.27)+(690120*1.27)</f>
        <v>2400452.4</v>
      </c>
      <c r="D30" s="700" t="s">
        <v>698</v>
      </c>
      <c r="E30" s="699"/>
      <c r="F30" s="699">
        <f>(1200000*1.27)+(690120*1.27)</f>
        <v>2400452.4</v>
      </c>
      <c r="G30" s="699"/>
      <c r="H30" s="702">
        <f t="shared" si="1"/>
        <v>2400452.4</v>
      </c>
      <c r="I30" s="699">
        <f>(1200000*1.27)+(690120*1.27)</f>
        <v>2400452.4</v>
      </c>
      <c r="J30" s="703"/>
      <c r="K30" s="699"/>
    </row>
    <row r="31" spans="1:11" ht="24.75" customHeight="1">
      <c r="A31" s="411" t="s">
        <v>658</v>
      </c>
      <c r="B31" s="412" t="s">
        <v>617</v>
      </c>
      <c r="C31" s="699">
        <f>(100000*1.27)</f>
        <v>127000</v>
      </c>
      <c r="D31" s="700" t="s">
        <v>700</v>
      </c>
      <c r="E31" s="699"/>
      <c r="F31" s="699">
        <f>(100000*1.27)</f>
        <v>127000</v>
      </c>
      <c r="G31" s="699"/>
      <c r="H31" s="702">
        <f t="shared" si="1"/>
        <v>127000</v>
      </c>
      <c r="I31" s="699">
        <f>(100000*1.27)</f>
        <v>127000</v>
      </c>
      <c r="J31" s="703"/>
      <c r="K31" s="699"/>
    </row>
    <row r="32" spans="1:11" ht="30.95" customHeight="1">
      <c r="A32" s="411" t="s">
        <v>634</v>
      </c>
      <c r="B32" s="412" t="s">
        <v>617</v>
      </c>
      <c r="C32" s="699">
        <f>(2103040*1.27)</f>
        <v>2670860.7999999998</v>
      </c>
      <c r="D32" s="700" t="s">
        <v>700</v>
      </c>
      <c r="E32" s="699"/>
      <c r="F32" s="699">
        <f>(2103040*1.27)</f>
        <v>2670860.7999999998</v>
      </c>
      <c r="G32" s="699"/>
      <c r="H32" s="702">
        <f>I32+J32+K32</f>
        <v>2670860.7999999998</v>
      </c>
      <c r="I32" s="703"/>
      <c r="J32" s="703"/>
      <c r="K32" s="699">
        <f>(2103040*1.27)</f>
        <v>2670860.7999999998</v>
      </c>
    </row>
    <row r="33" spans="1:11" ht="32.450000000000003" customHeight="1">
      <c r="A33" s="411" t="s">
        <v>635</v>
      </c>
      <c r="B33" s="412" t="s">
        <v>617</v>
      </c>
      <c r="C33" s="699">
        <f>(28990434*1.27)</f>
        <v>36817851.18</v>
      </c>
      <c r="D33" s="700" t="s">
        <v>700</v>
      </c>
      <c r="E33" s="699"/>
      <c r="F33" s="699">
        <f>(28990434*1.27)</f>
        <v>36817851.18</v>
      </c>
      <c r="G33" s="699"/>
      <c r="H33" s="702">
        <f>I33+J33+K33</f>
        <v>36817851.18</v>
      </c>
      <c r="I33" s="703"/>
      <c r="J33" s="703"/>
      <c r="K33" s="699">
        <f>(28990434*1.27)</f>
        <v>36817851.18</v>
      </c>
    </row>
    <row r="34" spans="1:11" ht="24.75" customHeight="1">
      <c r="A34" s="411" t="s">
        <v>707</v>
      </c>
      <c r="B34" s="412" t="s">
        <v>617</v>
      </c>
      <c r="C34" s="699">
        <f>(11517500*1.27)</f>
        <v>14627225</v>
      </c>
      <c r="D34" s="700" t="s">
        <v>698</v>
      </c>
      <c r="E34" s="699"/>
      <c r="F34" s="699">
        <f>(11517500*1.27)</f>
        <v>14627225</v>
      </c>
      <c r="G34" s="699"/>
      <c r="H34" s="702">
        <f>I34+J34+K34</f>
        <v>14627225</v>
      </c>
      <c r="I34" s="703"/>
      <c r="J34" s="703">
        <f>F34-K34</f>
        <v>7313613</v>
      </c>
      <c r="K34" s="699">
        <v>7313612</v>
      </c>
    </row>
    <row r="35" spans="1:11" ht="24.75" customHeight="1">
      <c r="A35" s="411" t="s">
        <v>708</v>
      </c>
      <c r="B35" s="412" t="s">
        <v>709</v>
      </c>
      <c r="C35" s="699">
        <f>(100000*1.27)+(30000*1.27)</f>
        <v>165100</v>
      </c>
      <c r="D35" s="700" t="s">
        <v>698</v>
      </c>
      <c r="E35" s="699"/>
      <c r="F35" s="699">
        <f>(100000*1.27)+(30000*1.27)</f>
        <v>165100</v>
      </c>
      <c r="G35" s="704"/>
      <c r="H35" s="702">
        <f t="shared" si="1"/>
        <v>165100</v>
      </c>
      <c r="I35" s="699">
        <f>(100000*1.27)+(30000*1.27)</f>
        <v>165100</v>
      </c>
      <c r="J35" s="703"/>
      <c r="K35" s="699"/>
    </row>
    <row r="36" spans="1:11" ht="24.75" customHeight="1">
      <c r="A36" s="411" t="s">
        <v>623</v>
      </c>
      <c r="B36" s="412" t="s">
        <v>621</v>
      </c>
      <c r="C36" s="699">
        <f>(300000*1.27)</f>
        <v>381000</v>
      </c>
      <c r="D36" s="700" t="s">
        <v>698</v>
      </c>
      <c r="E36" s="699"/>
      <c r="F36" s="699">
        <f>(300000*1.27)</f>
        <v>381000</v>
      </c>
      <c r="G36" s="704"/>
      <c r="H36" s="702">
        <f t="shared" si="1"/>
        <v>381000</v>
      </c>
      <c r="I36" s="699">
        <f>(300000*1.27)</f>
        <v>381000</v>
      </c>
      <c r="J36" s="703"/>
      <c r="K36" s="699"/>
    </row>
    <row r="37" spans="1:11" ht="24.75" customHeight="1">
      <c r="A37" s="411" t="s">
        <v>601</v>
      </c>
      <c r="B37" s="412" t="s">
        <v>622</v>
      </c>
      <c r="C37" s="699">
        <f>(180000*1.27)</f>
        <v>228600</v>
      </c>
      <c r="D37" s="700" t="s">
        <v>698</v>
      </c>
      <c r="E37" s="699"/>
      <c r="F37" s="699">
        <f>(180000*1.27)</f>
        <v>228600</v>
      </c>
      <c r="G37" s="704"/>
      <c r="H37" s="702">
        <f t="shared" si="1"/>
        <v>228600</v>
      </c>
      <c r="I37" s="699">
        <f>(180000*1.27)</f>
        <v>228600</v>
      </c>
      <c r="J37" s="703"/>
      <c r="K37" s="699"/>
    </row>
    <row r="38" spans="1:11" ht="24.75" customHeight="1">
      <c r="A38" s="411" t="s">
        <v>710</v>
      </c>
      <c r="B38" s="412" t="s">
        <v>618</v>
      </c>
      <c r="C38" s="699">
        <f>(6000000*1.27)+(200000*1.27)</f>
        <v>7874000</v>
      </c>
      <c r="D38" s="700" t="s">
        <v>698</v>
      </c>
      <c r="E38" s="699"/>
      <c r="F38" s="699">
        <f>(6000000*1.27)+(200000*1.27)</f>
        <v>7874000</v>
      </c>
      <c r="G38" s="704"/>
      <c r="H38" s="702">
        <f t="shared" si="1"/>
        <v>7874000</v>
      </c>
      <c r="I38" s="699">
        <f>(6000000*1.27)+(200000*1.27)</f>
        <v>7874000</v>
      </c>
      <c r="J38" s="703"/>
      <c r="K38" s="699"/>
    </row>
    <row r="39" spans="1:11" ht="24.75" customHeight="1">
      <c r="A39" s="411" t="s">
        <v>660</v>
      </c>
      <c r="B39" s="412" t="s">
        <v>614</v>
      </c>
      <c r="C39" s="699">
        <f>(490200*1.27)</f>
        <v>622554</v>
      </c>
      <c r="D39" s="700" t="s">
        <v>698</v>
      </c>
      <c r="E39" s="699"/>
      <c r="F39" s="699">
        <f>(490200*1.27)</f>
        <v>622554</v>
      </c>
      <c r="G39" s="701"/>
      <c r="H39" s="702">
        <f t="shared" si="1"/>
        <v>622554</v>
      </c>
      <c r="I39" s="699">
        <f>(490200*1.27)</f>
        <v>622554</v>
      </c>
      <c r="J39" s="703"/>
      <c r="K39" s="699"/>
    </row>
    <row r="40" spans="1:11" ht="24.75" customHeight="1">
      <c r="A40" s="411" t="s">
        <v>673</v>
      </c>
      <c r="B40" s="412" t="s">
        <v>672</v>
      </c>
      <c r="C40" s="699">
        <f>(209000*1.27)</f>
        <v>265430</v>
      </c>
      <c r="D40" s="700" t="s">
        <v>698</v>
      </c>
      <c r="E40" s="699"/>
      <c r="F40" s="699">
        <f>(209000*1.27)</f>
        <v>265430</v>
      </c>
      <c r="G40" s="701"/>
      <c r="H40" s="702">
        <f t="shared" si="1"/>
        <v>265430</v>
      </c>
      <c r="I40" s="699">
        <v>26670</v>
      </c>
      <c r="J40" s="703"/>
      <c r="K40" s="699">
        <f>(209000*1.27)-26670</f>
        <v>238760</v>
      </c>
    </row>
    <row r="41" spans="1:11" s="415" customFormat="1" ht="24.75" customHeight="1">
      <c r="A41" s="413" t="s">
        <v>605</v>
      </c>
      <c r="B41" s="414"/>
      <c r="C41" s="705">
        <f>SUM(C28:C40)</f>
        <v>68466073.379999995</v>
      </c>
      <c r="D41" s="705"/>
      <c r="E41" s="705"/>
      <c r="F41" s="705">
        <f t="shared" ref="F41:K41" si="2">SUM(F28:F40)</f>
        <v>68466073.379999995</v>
      </c>
      <c r="G41" s="705">
        <f t="shared" si="2"/>
        <v>0</v>
      </c>
      <c r="H41" s="705">
        <f t="shared" si="2"/>
        <v>68466073.549999997</v>
      </c>
      <c r="I41" s="705">
        <f t="shared" si="2"/>
        <v>14111376.4</v>
      </c>
      <c r="J41" s="705">
        <f t="shared" si="2"/>
        <v>7313613.1699999999</v>
      </c>
      <c r="K41" s="705">
        <f t="shared" si="2"/>
        <v>47041083.979999997</v>
      </c>
    </row>
    <row r="42" spans="1:11" ht="15.95" customHeight="1">
      <c r="A42" s="411"/>
      <c r="B42" s="412"/>
      <c r="C42" s="699"/>
      <c r="D42" s="700"/>
      <c r="E42" s="699"/>
      <c r="F42" s="699"/>
      <c r="G42" s="704"/>
      <c r="H42" s="702"/>
      <c r="I42" s="703"/>
      <c r="J42" s="703"/>
      <c r="K42" s="699"/>
    </row>
    <row r="43" spans="1:11" ht="15.95" customHeight="1">
      <c r="A43" s="411" t="s">
        <v>703</v>
      </c>
      <c r="B43" s="412"/>
      <c r="C43" s="699"/>
      <c r="D43" s="700"/>
      <c r="E43" s="699"/>
      <c r="F43" s="699"/>
      <c r="G43" s="704"/>
      <c r="H43" s="702">
        <f>I43+J43+K43</f>
        <v>0</v>
      </c>
      <c r="I43" s="703"/>
      <c r="J43" s="703"/>
      <c r="K43" s="699"/>
    </row>
    <row r="44" spans="1:11" s="415" customFormat="1" ht="15.95" customHeight="1">
      <c r="A44" s="413" t="s">
        <v>629</v>
      </c>
      <c r="B44" s="414"/>
      <c r="C44" s="705">
        <f>SUM(C43)</f>
        <v>0</v>
      </c>
      <c r="D44" s="705"/>
      <c r="E44" s="705">
        <f t="shared" ref="E44:K44" si="3">SUM(E43)</f>
        <v>0</v>
      </c>
      <c r="F44" s="705">
        <f t="shared" si="3"/>
        <v>0</v>
      </c>
      <c r="G44" s="705">
        <f t="shared" si="3"/>
        <v>0</v>
      </c>
      <c r="H44" s="705">
        <f t="shared" si="3"/>
        <v>0</v>
      </c>
      <c r="I44" s="705">
        <f t="shared" si="3"/>
        <v>0</v>
      </c>
      <c r="J44" s="705">
        <f t="shared" si="3"/>
        <v>0</v>
      </c>
      <c r="K44" s="705">
        <f t="shared" si="3"/>
        <v>0</v>
      </c>
    </row>
    <row r="45" spans="1:11" ht="15.95" customHeight="1">
      <c r="A45" s="411"/>
      <c r="B45" s="412"/>
      <c r="C45" s="699"/>
      <c r="D45" s="700"/>
      <c r="E45" s="699"/>
      <c r="F45" s="699"/>
      <c r="G45" s="704"/>
      <c r="H45" s="702"/>
      <c r="I45" s="703"/>
      <c r="J45" s="703"/>
      <c r="K45" s="699"/>
    </row>
    <row r="46" spans="1:11" ht="15.95" customHeight="1">
      <c r="A46" s="411"/>
      <c r="B46" s="412"/>
      <c r="C46" s="699"/>
      <c r="D46" s="700"/>
      <c r="E46" s="699"/>
      <c r="F46" s="699"/>
      <c r="G46" s="704"/>
      <c r="H46" s="702"/>
      <c r="I46" s="703"/>
      <c r="J46" s="703"/>
      <c r="K46" s="699"/>
    </row>
    <row r="47" spans="1:11" ht="15.95" customHeight="1">
      <c r="A47" s="411"/>
      <c r="B47" s="412"/>
      <c r="C47" s="699"/>
      <c r="D47" s="700"/>
      <c r="E47" s="699"/>
      <c r="F47" s="699"/>
      <c r="G47" s="704"/>
      <c r="H47" s="702"/>
      <c r="I47" s="703"/>
      <c r="J47" s="703"/>
      <c r="K47" s="699"/>
    </row>
    <row r="48" spans="1:11" ht="15.95" customHeight="1">
      <c r="A48" s="411"/>
      <c r="B48" s="412"/>
      <c r="C48" s="699"/>
      <c r="D48" s="700"/>
      <c r="E48" s="699"/>
      <c r="F48" s="699"/>
      <c r="G48" s="704"/>
      <c r="H48" s="702"/>
      <c r="I48" s="703"/>
      <c r="J48" s="703"/>
      <c r="K48" s="699"/>
    </row>
    <row r="49" spans="1:11" ht="15.95" customHeight="1" thickBot="1">
      <c r="A49" s="411"/>
      <c r="B49" s="412"/>
      <c r="C49" s="699"/>
      <c r="D49" s="700"/>
      <c r="E49" s="699"/>
      <c r="F49" s="699"/>
      <c r="G49" s="704"/>
      <c r="H49" s="702"/>
      <c r="I49" s="703"/>
      <c r="J49" s="703"/>
      <c r="K49" s="699"/>
    </row>
    <row r="50" spans="1:11" s="200" customFormat="1" ht="18" customHeight="1" thickBot="1">
      <c r="A50" s="416" t="s">
        <v>606</v>
      </c>
      <c r="B50" s="417"/>
      <c r="C50" s="723">
        <f>C10+C22+C26+C41+C44</f>
        <v>304198564.38</v>
      </c>
      <c r="D50" s="723"/>
      <c r="E50" s="723">
        <f t="shared" ref="E50:K50" si="4">E10+E22+E26+E41+E44</f>
        <v>0</v>
      </c>
      <c r="F50" s="723">
        <f t="shared" si="4"/>
        <v>304198564.38</v>
      </c>
      <c r="G50" s="723">
        <f t="shared" si="4"/>
        <v>0</v>
      </c>
      <c r="H50" s="723">
        <f t="shared" si="4"/>
        <v>304198564.55000001</v>
      </c>
      <c r="I50" s="723">
        <f t="shared" si="4"/>
        <v>38840266.399999999</v>
      </c>
      <c r="J50" s="723">
        <f t="shared" si="4"/>
        <v>7313613.1699999999</v>
      </c>
      <c r="K50" s="723">
        <f t="shared" si="4"/>
        <v>258044684.97999999</v>
      </c>
    </row>
    <row r="55" spans="1:11">
      <c r="A55" s="390"/>
    </row>
    <row r="59" spans="1:11">
      <c r="A59" s="390"/>
    </row>
  </sheetData>
  <mergeCells count="3">
    <mergeCell ref="A5:K5"/>
    <mergeCell ref="F1:K1"/>
    <mergeCell ref="A1:B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50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  <rowBreaks count="1" manualBreakCount="1">
    <brk id="22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FFFF00"/>
  </sheetPr>
  <dimension ref="A1:L22"/>
  <sheetViews>
    <sheetView view="pageLayout" zoomScaleNormal="100" workbookViewId="0">
      <selection activeCell="K8" sqref="K8"/>
    </sheetView>
  </sheetViews>
  <sheetFormatPr defaultRowHeight="12.75"/>
  <cols>
    <col min="1" max="1" width="40.33203125" style="492" bestFit="1" customWidth="1"/>
    <col min="2" max="2" width="21" style="492" bestFit="1" customWidth="1"/>
    <col min="3" max="3" width="14.33203125" style="487" bestFit="1" customWidth="1"/>
    <col min="4" max="4" width="13.6640625" style="487" bestFit="1" customWidth="1"/>
    <col min="5" max="5" width="13" style="487" bestFit="1" customWidth="1"/>
    <col min="6" max="6" width="12.1640625" style="487" bestFit="1" customWidth="1"/>
    <col min="7" max="7" width="11.1640625" style="487" bestFit="1" customWidth="1"/>
    <col min="8" max="8" width="12.1640625" style="231" bestFit="1" customWidth="1"/>
    <col min="9" max="9" width="11.5" style="487" bestFit="1" customWidth="1"/>
    <col min="10" max="11" width="12.1640625" style="487" bestFit="1" customWidth="1"/>
    <col min="12" max="12" width="12.83203125" style="487" customWidth="1"/>
    <col min="13" max="16384" width="9.33203125" style="487"/>
  </cols>
  <sheetData>
    <row r="1" spans="1:12">
      <c r="A1" s="801" t="s">
        <v>712</v>
      </c>
      <c r="B1" s="801"/>
      <c r="C1" s="801"/>
      <c r="D1" s="801"/>
      <c r="E1" s="801"/>
      <c r="F1" s="801"/>
      <c r="G1" s="801"/>
      <c r="H1" s="487"/>
    </row>
    <row r="2" spans="1:12" ht="14.25" thickBot="1">
      <c r="A2" s="223"/>
      <c r="B2" s="223"/>
      <c r="C2" s="224"/>
      <c r="D2" s="224"/>
      <c r="E2" s="224"/>
      <c r="F2" s="224"/>
      <c r="G2" s="665" t="s">
        <v>581</v>
      </c>
      <c r="H2" s="666" t="s">
        <v>581</v>
      </c>
      <c r="I2" s="224"/>
      <c r="J2" s="224"/>
      <c r="K2" s="224"/>
    </row>
    <row r="3" spans="1:12" s="222" customFormat="1" ht="39" thickBot="1">
      <c r="A3" s="225" t="s">
        <v>62</v>
      </c>
      <c r="B3" s="226" t="s">
        <v>613</v>
      </c>
      <c r="C3" s="563" t="s">
        <v>60</v>
      </c>
      <c r="D3" s="563" t="s">
        <v>61</v>
      </c>
      <c r="E3" s="563" t="s">
        <v>676</v>
      </c>
      <c r="F3" s="563" t="s">
        <v>692</v>
      </c>
      <c r="G3" s="667" t="s">
        <v>691</v>
      </c>
      <c r="H3" s="668" t="s">
        <v>611</v>
      </c>
      <c r="I3" s="669" t="s">
        <v>609</v>
      </c>
      <c r="J3" s="669" t="s">
        <v>610</v>
      </c>
      <c r="K3" s="670" t="s">
        <v>607</v>
      </c>
    </row>
    <row r="4" spans="1:12" s="224" customFormat="1" ht="13.5" thickBot="1">
      <c r="A4" s="227" t="s">
        <v>483</v>
      </c>
      <c r="B4" s="228"/>
      <c r="C4" s="671" t="s">
        <v>484</v>
      </c>
      <c r="D4" s="671" t="s">
        <v>485</v>
      </c>
      <c r="E4" s="671" t="s">
        <v>487</v>
      </c>
      <c r="F4" s="709" t="s">
        <v>486</v>
      </c>
      <c r="G4" s="672" t="s">
        <v>488</v>
      </c>
      <c r="H4" s="673"/>
      <c r="I4" s="674"/>
      <c r="J4" s="674"/>
      <c r="K4" s="671"/>
    </row>
    <row r="5" spans="1:12" s="407" customFormat="1">
      <c r="A5" s="405" t="s">
        <v>641</v>
      </c>
      <c r="B5" s="406" t="s">
        <v>614</v>
      </c>
      <c r="C5" s="661">
        <f>(200000*1.27)</f>
        <v>254000</v>
      </c>
      <c r="D5" s="662" t="s">
        <v>698</v>
      </c>
      <c r="E5" s="661"/>
      <c r="F5" s="661">
        <f>(200000*1.27)</f>
        <v>254000</v>
      </c>
      <c r="G5" s="663"/>
      <c r="H5" s="661">
        <f t="shared" ref="H5:H11" si="0">I5+J5+K5</f>
        <v>254000</v>
      </c>
      <c r="I5" s="664">
        <f>(200000*1.27)</f>
        <v>254000</v>
      </c>
      <c r="J5" s="664"/>
      <c r="K5" s="661"/>
      <c r="L5" s="487"/>
    </row>
    <row r="6" spans="1:12" s="407" customFormat="1">
      <c r="A6" s="405" t="s">
        <v>697</v>
      </c>
      <c r="B6" s="406" t="s">
        <v>628</v>
      </c>
      <c r="C6" s="661">
        <f>(250000*1.27)</f>
        <v>317500</v>
      </c>
      <c r="D6" s="662" t="s">
        <v>698</v>
      </c>
      <c r="E6" s="661"/>
      <c r="F6" s="661">
        <f>(250000*1.27)</f>
        <v>317500</v>
      </c>
      <c r="G6" s="663"/>
      <c r="H6" s="661">
        <f t="shared" si="0"/>
        <v>317500</v>
      </c>
      <c r="I6" s="664">
        <f>(250000*1.27)</f>
        <v>317500</v>
      </c>
      <c r="J6" s="664"/>
      <c r="K6" s="661"/>
      <c r="L6" s="487"/>
    </row>
    <row r="7" spans="1:12" s="407" customFormat="1">
      <c r="A7" s="405" t="s">
        <v>642</v>
      </c>
      <c r="B7" s="406" t="s">
        <v>699</v>
      </c>
      <c r="C7" s="661">
        <f>81101957+1488240</f>
        <v>82590197</v>
      </c>
      <c r="D7" s="662" t="s">
        <v>700</v>
      </c>
      <c r="E7" s="661"/>
      <c r="F7" s="661">
        <f>81101957+1488240</f>
        <v>82590197</v>
      </c>
      <c r="G7" s="663"/>
      <c r="H7" s="661">
        <f t="shared" si="0"/>
        <v>82590197</v>
      </c>
      <c r="I7" s="675">
        <f>5512000*1.27</f>
        <v>7000240</v>
      </c>
      <c r="J7" s="675">
        <v>40634177</v>
      </c>
      <c r="K7" s="661">
        <v>34955780</v>
      </c>
    </row>
    <row r="8" spans="1:12" s="407" customFormat="1">
      <c r="A8" s="405" t="s">
        <v>654</v>
      </c>
      <c r="B8" s="406" t="s">
        <v>618</v>
      </c>
      <c r="C8" s="661">
        <f>(5000000*1.27)</f>
        <v>6350000</v>
      </c>
      <c r="D8" s="662" t="s">
        <v>700</v>
      </c>
      <c r="E8" s="661"/>
      <c r="F8" s="661">
        <f>(5000000*1.27)</f>
        <v>6350000</v>
      </c>
      <c r="G8" s="663"/>
      <c r="H8" s="661">
        <f t="shared" si="0"/>
        <v>6350000</v>
      </c>
      <c r="I8" s="675">
        <f>(5000000*1.27)</f>
        <v>6350000</v>
      </c>
      <c r="J8" s="675"/>
      <c r="K8" s="661"/>
    </row>
    <row r="9" spans="1:12" s="407" customFormat="1">
      <c r="A9" s="405"/>
      <c r="B9" s="406"/>
      <c r="C9" s="661"/>
      <c r="D9" s="662"/>
      <c r="E9" s="661"/>
      <c r="F9" s="661"/>
      <c r="G9" s="663"/>
      <c r="H9" s="661">
        <f t="shared" si="0"/>
        <v>0</v>
      </c>
      <c r="I9" s="675"/>
      <c r="J9" s="675"/>
      <c r="K9" s="661"/>
    </row>
    <row r="10" spans="1:12" s="407" customFormat="1">
      <c r="A10" s="405"/>
      <c r="B10" s="406"/>
      <c r="C10" s="661"/>
      <c r="D10" s="662"/>
      <c r="E10" s="661"/>
      <c r="F10" s="661"/>
      <c r="G10" s="663"/>
      <c r="H10" s="661">
        <f t="shared" si="0"/>
        <v>0</v>
      </c>
      <c r="I10" s="675"/>
      <c r="J10" s="675"/>
      <c r="K10" s="661"/>
    </row>
    <row r="11" spans="1:12" s="407" customFormat="1">
      <c r="A11" s="405" t="s">
        <v>701</v>
      </c>
      <c r="B11" s="406" t="s">
        <v>618</v>
      </c>
      <c r="C11" s="661">
        <f>(60000*1.27)</f>
        <v>76200</v>
      </c>
      <c r="D11" s="662" t="s">
        <v>698</v>
      </c>
      <c r="E11" s="661"/>
      <c r="F11" s="661">
        <f>(60000*1.27)</f>
        <v>76200</v>
      </c>
      <c r="G11" s="663"/>
      <c r="H11" s="661">
        <f t="shared" si="0"/>
        <v>76200</v>
      </c>
      <c r="I11" s="675">
        <f>(60000*1.27)</f>
        <v>76200</v>
      </c>
      <c r="J11" s="675"/>
      <c r="K11" s="661"/>
    </row>
    <row r="12" spans="1:12">
      <c r="A12" s="488"/>
      <c r="B12" s="489"/>
      <c r="C12" s="676"/>
      <c r="D12" s="229"/>
      <c r="E12" s="676"/>
      <c r="F12" s="676"/>
      <c r="G12" s="677"/>
      <c r="H12" s="676"/>
      <c r="I12" s="664"/>
      <c r="J12" s="664"/>
      <c r="K12" s="676"/>
    </row>
    <row r="13" spans="1:12">
      <c r="A13" s="488"/>
      <c r="B13" s="489"/>
      <c r="C13" s="676"/>
      <c r="D13" s="229"/>
      <c r="E13" s="676"/>
      <c r="F13" s="676"/>
      <c r="G13" s="677"/>
      <c r="H13" s="676"/>
      <c r="I13" s="664"/>
      <c r="J13" s="664"/>
      <c r="K13" s="676"/>
    </row>
    <row r="14" spans="1:12">
      <c r="A14" s="488"/>
      <c r="B14" s="489"/>
      <c r="C14" s="676"/>
      <c r="D14" s="229"/>
      <c r="E14" s="676"/>
      <c r="F14" s="676"/>
      <c r="G14" s="677"/>
      <c r="H14" s="676"/>
      <c r="I14" s="664"/>
      <c r="J14" s="664"/>
      <c r="K14" s="676"/>
    </row>
    <row r="15" spans="1:12">
      <c r="A15" s="488"/>
      <c r="B15" s="489"/>
      <c r="C15" s="676"/>
      <c r="D15" s="229"/>
      <c r="E15" s="676"/>
      <c r="F15" s="676"/>
      <c r="G15" s="677"/>
      <c r="H15" s="676"/>
      <c r="I15" s="664"/>
      <c r="J15" s="664"/>
      <c r="K15" s="676"/>
    </row>
    <row r="16" spans="1:12">
      <c r="A16" s="488"/>
      <c r="B16" s="489"/>
      <c r="C16" s="676"/>
      <c r="D16" s="229"/>
      <c r="E16" s="676"/>
      <c r="F16" s="676"/>
      <c r="G16" s="677"/>
      <c r="H16" s="676"/>
      <c r="I16" s="664"/>
      <c r="J16" s="664"/>
      <c r="K16" s="676"/>
    </row>
    <row r="17" spans="1:12">
      <c r="A17" s="488"/>
      <c r="B17" s="489"/>
      <c r="C17" s="676"/>
      <c r="D17" s="229"/>
      <c r="E17" s="676"/>
      <c r="F17" s="676"/>
      <c r="G17" s="677"/>
      <c r="H17" s="676"/>
      <c r="I17" s="664"/>
      <c r="J17" s="664"/>
      <c r="K17" s="676"/>
    </row>
    <row r="18" spans="1:12">
      <c r="A18" s="488"/>
      <c r="B18" s="489"/>
      <c r="C18" s="676"/>
      <c r="D18" s="229"/>
      <c r="E18" s="676"/>
      <c r="F18" s="676"/>
      <c r="G18" s="677"/>
      <c r="H18" s="676"/>
      <c r="I18" s="664"/>
      <c r="J18" s="664"/>
      <c r="K18" s="676"/>
    </row>
    <row r="19" spans="1:12">
      <c r="A19" s="488"/>
      <c r="B19" s="489"/>
      <c r="C19" s="676"/>
      <c r="D19" s="229"/>
      <c r="E19" s="676"/>
      <c r="F19" s="676"/>
      <c r="G19" s="677"/>
      <c r="H19" s="676"/>
      <c r="I19" s="664"/>
      <c r="J19" s="664"/>
      <c r="K19" s="676"/>
    </row>
    <row r="20" spans="1:12">
      <c r="A20" s="488"/>
      <c r="B20" s="489"/>
      <c r="C20" s="676"/>
      <c r="D20" s="229"/>
      <c r="E20" s="676"/>
      <c r="F20" s="676"/>
      <c r="G20" s="677"/>
      <c r="H20" s="676"/>
      <c r="I20" s="664"/>
      <c r="J20" s="664"/>
      <c r="K20" s="676"/>
    </row>
    <row r="21" spans="1:12" ht="14.25" thickBot="1">
      <c r="A21" s="490"/>
      <c r="B21" s="491"/>
      <c r="C21" s="678"/>
      <c r="D21" s="230"/>
      <c r="E21" s="678"/>
      <c r="F21" s="678"/>
      <c r="G21" s="679"/>
      <c r="H21" s="678"/>
      <c r="I21" s="680"/>
      <c r="J21" s="680"/>
      <c r="K21" s="678"/>
      <c r="L21" s="408"/>
    </row>
    <row r="22" spans="1:12" s="231" customFormat="1" ht="13.5" thickBot="1">
      <c r="A22" s="409" t="s">
        <v>58</v>
      </c>
      <c r="B22" s="410"/>
      <c r="C22" s="681">
        <f>C5+C6+C7+C8+C11</f>
        <v>89587897</v>
      </c>
      <c r="D22" s="681"/>
      <c r="E22" s="681">
        <f t="shared" ref="E22:K22" si="1">E5+E6+E7+E8+E11</f>
        <v>0</v>
      </c>
      <c r="F22" s="681">
        <f t="shared" si="1"/>
        <v>89587897</v>
      </c>
      <c r="G22" s="681">
        <f t="shared" si="1"/>
        <v>0</v>
      </c>
      <c r="H22" s="681">
        <f t="shared" si="1"/>
        <v>89587897</v>
      </c>
      <c r="I22" s="681">
        <f t="shared" si="1"/>
        <v>13997940</v>
      </c>
      <c r="J22" s="681">
        <f t="shared" si="1"/>
        <v>40634177</v>
      </c>
      <c r="K22" s="681">
        <f t="shared" si="1"/>
        <v>34955780</v>
      </c>
      <c r="L22" s="487"/>
    </row>
  </sheetData>
  <mergeCells count="1">
    <mergeCell ref="A1:G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9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FFFF00"/>
  </sheetPr>
  <dimension ref="A1:H52"/>
  <sheetViews>
    <sheetView view="pageLayout" zoomScaleNormal="100" workbookViewId="0">
      <selection activeCell="F38" sqref="F38"/>
    </sheetView>
  </sheetViews>
  <sheetFormatPr defaultRowHeight="12.75"/>
  <cols>
    <col min="1" max="1" width="36.83203125" style="424" bestFit="1" customWidth="1"/>
    <col min="2" max="3" width="5.6640625" style="424" bestFit="1" customWidth="1"/>
    <col min="4" max="4" width="10.1640625" style="424" bestFit="1" customWidth="1"/>
    <col min="5" max="5" width="9.5" style="424" bestFit="1" customWidth="1"/>
    <col min="6" max="16384" width="9.33203125" style="424"/>
  </cols>
  <sheetData>
    <row r="1" spans="1:5">
      <c r="A1" s="423"/>
      <c r="B1" s="423"/>
      <c r="C1" s="423"/>
      <c r="D1" s="423"/>
      <c r="E1" s="423"/>
    </row>
    <row r="2" spans="1:5">
      <c r="A2" s="396" t="s">
        <v>129</v>
      </c>
      <c r="B2" s="812"/>
      <c r="C2" s="812"/>
      <c r="D2" s="812"/>
      <c r="E2" s="812"/>
    </row>
    <row r="3" spans="1:5" ht="14.25" thickBot="1">
      <c r="A3" s="423"/>
      <c r="B3" s="423"/>
      <c r="C3" s="423"/>
      <c r="D3" s="813" t="s">
        <v>581</v>
      </c>
      <c r="E3" s="813"/>
    </row>
    <row r="4" spans="1:5" ht="15" customHeight="1" thickBot="1">
      <c r="A4" s="397" t="s">
        <v>122</v>
      </c>
      <c r="B4" s="398" t="s">
        <v>595</v>
      </c>
      <c r="C4" s="398" t="s">
        <v>596</v>
      </c>
      <c r="D4" s="398" t="s">
        <v>677</v>
      </c>
      <c r="E4" s="399" t="s">
        <v>46</v>
      </c>
    </row>
    <row r="5" spans="1:5">
      <c r="A5" s="425" t="s">
        <v>123</v>
      </c>
      <c r="B5" s="426"/>
      <c r="C5" s="426"/>
      <c r="D5" s="426"/>
      <c r="E5" s="427">
        <f t="shared" ref="E5:E11" si="0">SUM(B5:D5)</f>
        <v>0</v>
      </c>
    </row>
    <row r="6" spans="1:5">
      <c r="A6" s="400" t="s">
        <v>136</v>
      </c>
      <c r="B6" s="401"/>
      <c r="C6" s="401"/>
      <c r="D6" s="401"/>
      <c r="E6" s="402">
        <f t="shared" si="0"/>
        <v>0</v>
      </c>
    </row>
    <row r="7" spans="1:5">
      <c r="A7" s="428" t="s">
        <v>124</v>
      </c>
      <c r="B7" s="429"/>
      <c r="C7" s="429"/>
      <c r="D7" s="429"/>
      <c r="E7" s="430">
        <f t="shared" si="0"/>
        <v>0</v>
      </c>
    </row>
    <row r="8" spans="1:5">
      <c r="A8" s="428" t="s">
        <v>138</v>
      </c>
      <c r="B8" s="429"/>
      <c r="C8" s="429"/>
      <c r="D8" s="429"/>
      <c r="E8" s="430">
        <f t="shared" si="0"/>
        <v>0</v>
      </c>
    </row>
    <row r="9" spans="1:5">
      <c r="A9" s="428" t="s">
        <v>125</v>
      </c>
      <c r="B9" s="429"/>
      <c r="C9" s="429"/>
      <c r="D9" s="429"/>
      <c r="E9" s="430">
        <f t="shared" si="0"/>
        <v>0</v>
      </c>
    </row>
    <row r="10" spans="1:5">
      <c r="A10" s="428" t="s">
        <v>126</v>
      </c>
      <c r="B10" s="429"/>
      <c r="C10" s="429"/>
      <c r="D10" s="429"/>
      <c r="E10" s="430">
        <f t="shared" si="0"/>
        <v>0</v>
      </c>
    </row>
    <row r="11" spans="1:5" ht="13.5" thickBot="1">
      <c r="A11" s="431"/>
      <c r="B11" s="432"/>
      <c r="C11" s="432"/>
      <c r="D11" s="432"/>
      <c r="E11" s="430">
        <f t="shared" si="0"/>
        <v>0</v>
      </c>
    </row>
    <row r="12" spans="1:5" ht="13.5" thickBot="1">
      <c r="A12" s="403" t="s">
        <v>128</v>
      </c>
      <c r="B12" s="433">
        <f>B5+SUM(B7:B11)</f>
        <v>0</v>
      </c>
      <c r="C12" s="433">
        <f>C5+SUM(C7:C11)</f>
        <v>0</v>
      </c>
      <c r="D12" s="433">
        <f>D5+SUM(D7:D11)</f>
        <v>0</v>
      </c>
      <c r="E12" s="434">
        <f>E5+SUM(E7:E11)</f>
        <v>0</v>
      </c>
    </row>
    <row r="13" spans="1:5" ht="13.5" thickBot="1">
      <c r="A13" s="435"/>
      <c r="B13" s="435"/>
      <c r="C13" s="435"/>
      <c r="D13" s="435"/>
      <c r="E13" s="435"/>
    </row>
    <row r="14" spans="1:5" ht="15" customHeight="1" thickBot="1">
      <c r="A14" s="397" t="s">
        <v>127</v>
      </c>
      <c r="B14" s="398" t="str">
        <f>+B4</f>
        <v>2019.</v>
      </c>
      <c r="C14" s="398" t="str">
        <f>+C4</f>
        <v>2020.</v>
      </c>
      <c r="D14" s="398" t="str">
        <f>+D4</f>
        <v>2020.után</v>
      </c>
      <c r="E14" s="399" t="s">
        <v>46</v>
      </c>
    </row>
    <row r="15" spans="1:5">
      <c r="A15" s="425" t="s">
        <v>132</v>
      </c>
      <c r="B15" s="426"/>
      <c r="C15" s="426"/>
      <c r="D15" s="426"/>
      <c r="E15" s="427">
        <f t="shared" ref="E15:E21" si="1">SUM(B15:D15)</f>
        <v>0</v>
      </c>
    </row>
    <row r="16" spans="1:5">
      <c r="A16" s="436" t="s">
        <v>133</v>
      </c>
      <c r="B16" s="429"/>
      <c r="C16" s="429"/>
      <c r="D16" s="429"/>
      <c r="E16" s="430">
        <f t="shared" si="1"/>
        <v>0</v>
      </c>
    </row>
    <row r="17" spans="1:5">
      <c r="A17" s="428" t="s">
        <v>134</v>
      </c>
      <c r="B17" s="429"/>
      <c r="C17" s="429"/>
      <c r="D17" s="429"/>
      <c r="E17" s="430">
        <f t="shared" si="1"/>
        <v>0</v>
      </c>
    </row>
    <row r="18" spans="1:5">
      <c r="A18" s="428" t="s">
        <v>135</v>
      </c>
      <c r="B18" s="429"/>
      <c r="C18" s="429"/>
      <c r="D18" s="429"/>
      <c r="E18" s="430">
        <f t="shared" si="1"/>
        <v>0</v>
      </c>
    </row>
    <row r="19" spans="1:5">
      <c r="A19" s="437"/>
      <c r="B19" s="429"/>
      <c r="C19" s="429"/>
      <c r="D19" s="429"/>
      <c r="E19" s="430">
        <f t="shared" si="1"/>
        <v>0</v>
      </c>
    </row>
    <row r="20" spans="1:5">
      <c r="A20" s="437"/>
      <c r="B20" s="429"/>
      <c r="C20" s="429"/>
      <c r="D20" s="429"/>
      <c r="E20" s="430">
        <f t="shared" si="1"/>
        <v>0</v>
      </c>
    </row>
    <row r="21" spans="1:5" ht="13.5" thickBot="1">
      <c r="A21" s="431"/>
      <c r="B21" s="432"/>
      <c r="C21" s="432"/>
      <c r="D21" s="432"/>
      <c r="E21" s="430">
        <f t="shared" si="1"/>
        <v>0</v>
      </c>
    </row>
    <row r="22" spans="1:5" ht="13.5" thickBot="1">
      <c r="A22" s="403" t="s">
        <v>48</v>
      </c>
      <c r="B22" s="433">
        <f>SUM(B15:B21)</f>
        <v>0</v>
      </c>
      <c r="C22" s="433">
        <f>SUM(C15:C21)</f>
        <v>0</v>
      </c>
      <c r="D22" s="433">
        <f>SUM(D15:D21)</f>
        <v>0</v>
      </c>
      <c r="E22" s="434">
        <f>SUM(E15:E21)</f>
        <v>0</v>
      </c>
    </row>
    <row r="23" spans="1:5">
      <c r="A23" s="423"/>
      <c r="B23" s="423"/>
      <c r="C23" s="423"/>
      <c r="D23" s="423"/>
      <c r="E23" s="423"/>
    </row>
    <row r="24" spans="1:5">
      <c r="A24" s="423"/>
      <c r="B24" s="423"/>
      <c r="C24" s="423"/>
      <c r="D24" s="423"/>
      <c r="E24" s="423"/>
    </row>
    <row r="25" spans="1:5">
      <c r="A25" s="396" t="s">
        <v>129</v>
      </c>
      <c r="B25" s="812"/>
      <c r="C25" s="812"/>
      <c r="D25" s="812"/>
      <c r="E25" s="812"/>
    </row>
    <row r="26" spans="1:5" ht="14.25" thickBot="1">
      <c r="A26" s="423"/>
      <c r="B26" s="423"/>
      <c r="C26" s="423"/>
      <c r="D26" s="813" t="s">
        <v>581</v>
      </c>
      <c r="E26" s="813"/>
    </row>
    <row r="27" spans="1:5" ht="13.5" thickBot="1">
      <c r="A27" s="397" t="s">
        <v>122</v>
      </c>
      <c r="B27" s="398" t="str">
        <f>+B14</f>
        <v>2019.</v>
      </c>
      <c r="C27" s="398" t="str">
        <f>+C14</f>
        <v>2020.</v>
      </c>
      <c r="D27" s="398" t="str">
        <f>+D14</f>
        <v>2020.után</v>
      </c>
      <c r="E27" s="399" t="s">
        <v>46</v>
      </c>
    </row>
    <row r="28" spans="1:5">
      <c r="A28" s="425" t="s">
        <v>123</v>
      </c>
      <c r="B28" s="426"/>
      <c r="C28" s="426"/>
      <c r="D28" s="426"/>
      <c r="E28" s="427">
        <f t="shared" ref="E28:E34" si="2">SUM(B28:D28)</f>
        <v>0</v>
      </c>
    </row>
    <row r="29" spans="1:5">
      <c r="A29" s="400" t="s">
        <v>136</v>
      </c>
      <c r="B29" s="401"/>
      <c r="C29" s="401"/>
      <c r="D29" s="401"/>
      <c r="E29" s="402">
        <f t="shared" si="2"/>
        <v>0</v>
      </c>
    </row>
    <row r="30" spans="1:5">
      <c r="A30" s="428" t="s">
        <v>124</v>
      </c>
      <c r="B30" s="429"/>
      <c r="C30" s="429"/>
      <c r="D30" s="429"/>
      <c r="E30" s="430">
        <f t="shared" si="2"/>
        <v>0</v>
      </c>
    </row>
    <row r="31" spans="1:5">
      <c r="A31" s="428" t="s">
        <v>138</v>
      </c>
      <c r="B31" s="429"/>
      <c r="C31" s="429"/>
      <c r="D31" s="429"/>
      <c r="E31" s="430">
        <f t="shared" si="2"/>
        <v>0</v>
      </c>
    </row>
    <row r="32" spans="1:5">
      <c r="A32" s="428" t="s">
        <v>125</v>
      </c>
      <c r="B32" s="429"/>
      <c r="C32" s="429"/>
      <c r="D32" s="429"/>
      <c r="E32" s="430">
        <f t="shared" si="2"/>
        <v>0</v>
      </c>
    </row>
    <row r="33" spans="1:7">
      <c r="A33" s="428" t="s">
        <v>126</v>
      </c>
      <c r="B33" s="429"/>
      <c r="C33" s="429"/>
      <c r="D33" s="429"/>
      <c r="E33" s="430">
        <f t="shared" si="2"/>
        <v>0</v>
      </c>
    </row>
    <row r="34" spans="1:7" ht="13.5" thickBot="1">
      <c r="A34" s="431"/>
      <c r="B34" s="432"/>
      <c r="C34" s="432"/>
      <c r="D34" s="432"/>
      <c r="E34" s="430">
        <f t="shared" si="2"/>
        <v>0</v>
      </c>
    </row>
    <row r="35" spans="1:7" ht="13.5" thickBot="1">
      <c r="A35" s="403" t="s">
        <v>128</v>
      </c>
      <c r="B35" s="433">
        <f>B28+SUM(B30:B34)</f>
        <v>0</v>
      </c>
      <c r="C35" s="433">
        <f>C28+SUM(C30:C34)</f>
        <v>0</v>
      </c>
      <c r="D35" s="433">
        <f>D28+SUM(D30:D34)</f>
        <v>0</v>
      </c>
      <c r="E35" s="434">
        <f>E28+SUM(E30:E34)</f>
        <v>0</v>
      </c>
    </row>
    <row r="36" spans="1:7" ht="13.5" thickBot="1">
      <c r="A36" s="435"/>
      <c r="B36" s="435"/>
      <c r="C36" s="435"/>
      <c r="D36" s="435"/>
      <c r="E36" s="435"/>
    </row>
    <row r="37" spans="1:7" ht="13.5" thickBot="1">
      <c r="A37" s="397" t="s">
        <v>127</v>
      </c>
      <c r="B37" s="398" t="str">
        <f>+B27</f>
        <v>2019.</v>
      </c>
      <c r="C37" s="398" t="str">
        <f>+C27</f>
        <v>2020.</v>
      </c>
      <c r="D37" s="398" t="str">
        <f>+D27</f>
        <v>2020.után</v>
      </c>
      <c r="E37" s="399" t="s">
        <v>46</v>
      </c>
    </row>
    <row r="38" spans="1:7">
      <c r="A38" s="425" t="s">
        <v>132</v>
      </c>
      <c r="B38" s="426"/>
      <c r="C38" s="426"/>
      <c r="D38" s="426"/>
      <c r="E38" s="427">
        <f t="shared" ref="E38:E44" si="3">SUM(B38:D38)</f>
        <v>0</v>
      </c>
    </row>
    <row r="39" spans="1:7">
      <c r="A39" s="436" t="s">
        <v>133</v>
      </c>
      <c r="B39" s="429"/>
      <c r="C39" s="429"/>
      <c r="D39" s="429"/>
      <c r="E39" s="430">
        <f t="shared" si="3"/>
        <v>0</v>
      </c>
    </row>
    <row r="40" spans="1:7">
      <c r="A40" s="428" t="s">
        <v>134</v>
      </c>
      <c r="B40" s="429"/>
      <c r="C40" s="429"/>
      <c r="D40" s="429"/>
      <c r="E40" s="430">
        <f t="shared" si="3"/>
        <v>0</v>
      </c>
    </row>
    <row r="41" spans="1:7">
      <c r="A41" s="428" t="s">
        <v>135</v>
      </c>
      <c r="B41" s="429"/>
      <c r="C41" s="429"/>
      <c r="D41" s="429"/>
      <c r="E41" s="430">
        <f t="shared" si="3"/>
        <v>0</v>
      </c>
    </row>
    <row r="42" spans="1:7">
      <c r="A42" s="437"/>
      <c r="B42" s="429"/>
      <c r="C42" s="429"/>
      <c r="D42" s="429"/>
      <c r="E42" s="430">
        <f t="shared" si="3"/>
        <v>0</v>
      </c>
    </row>
    <row r="43" spans="1:7">
      <c r="A43" s="437"/>
      <c r="B43" s="429"/>
      <c r="C43" s="429"/>
      <c r="D43" s="429"/>
      <c r="E43" s="430">
        <f t="shared" si="3"/>
        <v>0</v>
      </c>
    </row>
    <row r="44" spans="1:7" ht="13.5" thickBot="1">
      <c r="A44" s="431"/>
      <c r="B44" s="432"/>
      <c r="C44" s="432"/>
      <c r="D44" s="432"/>
      <c r="E44" s="430">
        <f t="shared" si="3"/>
        <v>0</v>
      </c>
    </row>
    <row r="45" spans="1:7" ht="13.5" thickBot="1">
      <c r="A45" s="403" t="s">
        <v>48</v>
      </c>
      <c r="B45" s="433">
        <f>SUM(B38:B44)</f>
        <v>0</v>
      </c>
      <c r="C45" s="433">
        <f>SUM(C38:C44)</f>
        <v>0</v>
      </c>
      <c r="D45" s="433">
        <f>SUM(D38:D44)</f>
        <v>0</v>
      </c>
      <c r="E45" s="434">
        <f>SUM(E38:E44)</f>
        <v>0</v>
      </c>
    </row>
    <row r="46" spans="1:7">
      <c r="A46" s="423"/>
      <c r="B46" s="423"/>
      <c r="C46" s="423"/>
      <c r="D46" s="423"/>
      <c r="E46" s="423"/>
    </row>
    <row r="47" spans="1:7">
      <c r="A47" s="811" t="s">
        <v>678</v>
      </c>
      <c r="B47" s="811"/>
      <c r="C47" s="811"/>
      <c r="D47" s="811"/>
      <c r="E47" s="811"/>
      <c r="F47" s="811"/>
      <c r="G47" s="811"/>
    </row>
    <row r="48" spans="1:7" ht="13.5" thickBot="1">
      <c r="A48" s="423"/>
      <c r="B48" s="423"/>
      <c r="C48" s="423"/>
      <c r="D48" s="423"/>
      <c r="E48" s="423"/>
    </row>
    <row r="49" spans="1:8" ht="13.5" thickBot="1">
      <c r="A49" s="802" t="s">
        <v>130</v>
      </c>
      <c r="B49" s="803"/>
      <c r="C49" s="804"/>
      <c r="D49" s="823" t="s">
        <v>597</v>
      </c>
      <c r="E49" s="824"/>
      <c r="H49" s="438"/>
    </row>
    <row r="50" spans="1:8">
      <c r="A50" s="805"/>
      <c r="B50" s="806"/>
      <c r="C50" s="807"/>
      <c r="D50" s="817"/>
      <c r="E50" s="818"/>
    </row>
    <row r="51" spans="1:8" ht="13.5" thickBot="1">
      <c r="A51" s="808"/>
      <c r="B51" s="809"/>
      <c r="C51" s="810"/>
      <c r="D51" s="819"/>
      <c r="E51" s="820"/>
    </row>
    <row r="52" spans="1:8" ht="13.5" thickBot="1">
      <c r="A52" s="814" t="s">
        <v>48</v>
      </c>
      <c r="B52" s="815"/>
      <c r="C52" s="816"/>
      <c r="D52" s="821">
        <f>SUM(D50:E51)</f>
        <v>0</v>
      </c>
      <c r="E52" s="822"/>
    </row>
  </sheetData>
  <mergeCells count="13">
    <mergeCell ref="A52:C52"/>
    <mergeCell ref="D50:E50"/>
    <mergeCell ref="D51:E51"/>
    <mergeCell ref="D52:E52"/>
    <mergeCell ref="D49:E49"/>
    <mergeCell ref="A49:C49"/>
    <mergeCell ref="A50:C50"/>
    <mergeCell ref="A51:C51"/>
    <mergeCell ref="A47:G47"/>
    <mergeCell ref="B2:E2"/>
    <mergeCell ref="B25:E25"/>
    <mergeCell ref="D3:E3"/>
    <mergeCell ref="D26:E26"/>
  </mergeCells>
  <phoneticPr fontId="6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7030A0"/>
  </sheetPr>
  <dimension ref="A1:C161"/>
  <sheetViews>
    <sheetView zoomScale="94" zoomScaleNormal="94" zoomScaleSheetLayoutView="85" workbookViewId="0">
      <selection activeCell="B1" sqref="B1"/>
    </sheetView>
  </sheetViews>
  <sheetFormatPr defaultRowHeight="12.75"/>
  <cols>
    <col min="1" max="1" width="12.33203125" style="28" customWidth="1"/>
    <col min="2" max="2" width="66.33203125" style="9" bestFit="1" customWidth="1"/>
    <col min="3" max="3" width="19.83203125" style="29" bestFit="1" customWidth="1"/>
    <col min="4" max="16384" width="9.33203125" style="109"/>
  </cols>
  <sheetData>
    <row r="1" spans="1:3" s="616" customFormat="1" ht="13.5" thickBot="1">
      <c r="A1" s="614"/>
      <c r="B1" s="615" t="s">
        <v>718</v>
      </c>
      <c r="C1" s="615"/>
    </row>
    <row r="2" spans="1:3" s="108" customFormat="1">
      <c r="A2" s="617" t="s">
        <v>56</v>
      </c>
      <c r="B2" s="618" t="s">
        <v>536</v>
      </c>
      <c r="C2" s="632" t="s">
        <v>49</v>
      </c>
    </row>
    <row r="3" spans="1:3" s="108" customFormat="1" ht="13.5" thickBot="1">
      <c r="A3" s="619" t="s">
        <v>191</v>
      </c>
      <c r="B3" s="620" t="s">
        <v>394</v>
      </c>
      <c r="C3" s="633" t="s">
        <v>49</v>
      </c>
    </row>
    <row r="4" spans="1:3" s="108" customFormat="1" ht="14.25" thickBot="1">
      <c r="A4" s="621"/>
      <c r="B4" s="621"/>
      <c r="C4" s="6" t="s">
        <v>581</v>
      </c>
    </row>
    <row r="5" spans="1:3" ht="26.25" thickBot="1">
      <c r="A5" s="622" t="s">
        <v>193</v>
      </c>
      <c r="B5" s="623" t="s">
        <v>50</v>
      </c>
      <c r="C5" s="563" t="s">
        <v>692</v>
      </c>
    </row>
    <row r="6" spans="1:3" s="367" customFormat="1" ht="13.5" thickBot="1">
      <c r="A6" s="652" t="s">
        <v>483</v>
      </c>
      <c r="B6" s="653" t="s">
        <v>484</v>
      </c>
      <c r="C6" s="658" t="s">
        <v>485</v>
      </c>
    </row>
    <row r="7" spans="1:3" s="367" customFormat="1" ht="13.5" thickBot="1">
      <c r="A7" s="654"/>
      <c r="B7" s="655" t="s">
        <v>51</v>
      </c>
      <c r="C7" s="659"/>
    </row>
    <row r="8" spans="1:3" s="42" customFormat="1" ht="13.5" thickBot="1">
      <c r="A8" s="235" t="s">
        <v>14</v>
      </c>
      <c r="B8" s="236" t="s">
        <v>241</v>
      </c>
      <c r="C8" s="565">
        <f>+C9+C10+C11+C12+C13+C14</f>
        <v>223966276</v>
      </c>
    </row>
    <row r="9" spans="1:3" s="42" customFormat="1">
      <c r="A9" s="237" t="s">
        <v>93</v>
      </c>
      <c r="B9" s="112" t="s">
        <v>242</v>
      </c>
      <c r="C9" s="566">
        <v>118506104</v>
      </c>
    </row>
    <row r="10" spans="1:3" s="42" customFormat="1">
      <c r="A10" s="238" t="s">
        <v>94</v>
      </c>
      <c r="B10" s="113" t="s">
        <v>243</v>
      </c>
      <c r="C10" s="567">
        <v>64532484</v>
      </c>
    </row>
    <row r="11" spans="1:3" s="42" customFormat="1">
      <c r="A11" s="238" t="s">
        <v>95</v>
      </c>
      <c r="B11" s="113" t="s">
        <v>244</v>
      </c>
      <c r="C11" s="567">
        <v>37842188</v>
      </c>
    </row>
    <row r="12" spans="1:3" s="42" customFormat="1">
      <c r="A12" s="238" t="s">
        <v>96</v>
      </c>
      <c r="B12" s="113" t="s">
        <v>245</v>
      </c>
      <c r="C12" s="567">
        <v>3085500</v>
      </c>
    </row>
    <row r="13" spans="1:3" s="42" customFormat="1">
      <c r="A13" s="238" t="s">
        <v>139</v>
      </c>
      <c r="B13" s="239" t="s">
        <v>426</v>
      </c>
      <c r="C13" s="567"/>
    </row>
    <row r="14" spans="1:3" s="42" customFormat="1" ht="13.5" thickBot="1">
      <c r="A14" s="240" t="s">
        <v>97</v>
      </c>
      <c r="B14" s="241" t="s">
        <v>427</v>
      </c>
      <c r="C14" s="567"/>
    </row>
    <row r="15" spans="1:3" s="42" customFormat="1" ht="26.25" thickBot="1">
      <c r="A15" s="235" t="s">
        <v>15</v>
      </c>
      <c r="B15" s="242" t="s">
        <v>246</v>
      </c>
      <c r="C15" s="565">
        <f>+C16+C17+C18+C19+C20</f>
        <v>75066371</v>
      </c>
    </row>
    <row r="16" spans="1:3" s="42" customFormat="1">
      <c r="A16" s="237" t="s">
        <v>99</v>
      </c>
      <c r="B16" s="112" t="s">
        <v>247</v>
      </c>
      <c r="C16" s="566"/>
    </row>
    <row r="17" spans="1:3" s="42" customFormat="1">
      <c r="A17" s="238" t="s">
        <v>100</v>
      </c>
      <c r="B17" s="113" t="s">
        <v>248</v>
      </c>
      <c r="C17" s="567"/>
    </row>
    <row r="18" spans="1:3" s="42" customFormat="1" ht="25.5">
      <c r="A18" s="238" t="s">
        <v>101</v>
      </c>
      <c r="B18" s="113" t="s">
        <v>416</v>
      </c>
      <c r="C18" s="567"/>
    </row>
    <row r="19" spans="1:3" s="42" customFormat="1" ht="25.5">
      <c r="A19" s="238" t="s">
        <v>102</v>
      </c>
      <c r="B19" s="113" t="s">
        <v>417</v>
      </c>
      <c r="C19" s="567"/>
    </row>
    <row r="20" spans="1:3" s="42" customFormat="1">
      <c r="A20" s="238" t="s">
        <v>103</v>
      </c>
      <c r="B20" s="113" t="s">
        <v>249</v>
      </c>
      <c r="C20" s="567">
        <f>75066371</f>
        <v>75066371</v>
      </c>
    </row>
    <row r="21" spans="1:3" s="42" customFormat="1" ht="13.5" thickBot="1">
      <c r="A21" s="240" t="s">
        <v>112</v>
      </c>
      <c r="B21" s="241" t="s">
        <v>250</v>
      </c>
      <c r="C21" s="568"/>
    </row>
    <row r="22" spans="1:3" s="42" customFormat="1" ht="26.25" thickBot="1">
      <c r="A22" s="235" t="s">
        <v>16</v>
      </c>
      <c r="B22" s="236" t="s">
        <v>251</v>
      </c>
      <c r="C22" s="565">
        <f>+C23+C24+C25+C26+C27</f>
        <v>39844721</v>
      </c>
    </row>
    <row r="23" spans="1:3" s="42" customFormat="1">
      <c r="A23" s="237" t="s">
        <v>82</v>
      </c>
      <c r="B23" s="112" t="s">
        <v>252</v>
      </c>
      <c r="C23" s="566"/>
    </row>
    <row r="24" spans="1:3" s="42" customFormat="1">
      <c r="A24" s="238" t="s">
        <v>83</v>
      </c>
      <c r="B24" s="113" t="s">
        <v>253</v>
      </c>
      <c r="C24" s="567"/>
    </row>
    <row r="25" spans="1:3" s="42" customFormat="1" ht="25.5">
      <c r="A25" s="238" t="s">
        <v>84</v>
      </c>
      <c r="B25" s="113" t="s">
        <v>418</v>
      </c>
      <c r="C25" s="567"/>
    </row>
    <row r="26" spans="1:3" s="42" customFormat="1" ht="25.5">
      <c r="A26" s="238" t="s">
        <v>85</v>
      </c>
      <c r="B26" s="113" t="s">
        <v>419</v>
      </c>
      <c r="C26" s="567"/>
    </row>
    <row r="27" spans="1:3" s="42" customFormat="1">
      <c r="A27" s="238" t="s">
        <v>160</v>
      </c>
      <c r="B27" s="113" t="s">
        <v>254</v>
      </c>
      <c r="C27" s="567">
        <v>39844721</v>
      </c>
    </row>
    <row r="28" spans="1:3" s="42" customFormat="1" ht="13.5" thickBot="1">
      <c r="A28" s="240" t="s">
        <v>161</v>
      </c>
      <c r="B28" s="115" t="s">
        <v>255</v>
      </c>
      <c r="C28" s="568"/>
    </row>
    <row r="29" spans="1:3" s="42" customFormat="1" ht="13.5" thickBot="1">
      <c r="A29" s="235" t="s">
        <v>162</v>
      </c>
      <c r="B29" s="236" t="s">
        <v>256</v>
      </c>
      <c r="C29" s="565">
        <f>+C30+C34+C35+C36</f>
        <v>136700000</v>
      </c>
    </row>
    <row r="30" spans="1:3" s="42" customFormat="1">
      <c r="A30" s="237" t="s">
        <v>257</v>
      </c>
      <c r="B30" s="112" t="s">
        <v>433</v>
      </c>
      <c r="C30" s="569">
        <f>C31+C32+C33</f>
        <v>100000000</v>
      </c>
    </row>
    <row r="31" spans="1:3" s="42" customFormat="1">
      <c r="A31" s="238" t="s">
        <v>258</v>
      </c>
      <c r="B31" s="113" t="s">
        <v>593</v>
      </c>
      <c r="C31" s="567">
        <f>58000000</f>
        <v>58000000</v>
      </c>
    </row>
    <row r="32" spans="1:3" s="42" customFormat="1">
      <c r="A32" s="238" t="s">
        <v>259</v>
      </c>
      <c r="B32" s="113" t="s">
        <v>594</v>
      </c>
      <c r="C32" s="567"/>
    </row>
    <row r="33" spans="1:3" s="42" customFormat="1">
      <c r="A33" s="238" t="s">
        <v>431</v>
      </c>
      <c r="B33" s="114" t="s">
        <v>432</v>
      </c>
      <c r="C33" s="567">
        <f>42000000</f>
        <v>42000000</v>
      </c>
    </row>
    <row r="34" spans="1:3" s="42" customFormat="1">
      <c r="A34" s="238" t="s">
        <v>260</v>
      </c>
      <c r="B34" s="113" t="s">
        <v>265</v>
      </c>
      <c r="C34" s="567">
        <v>9000000</v>
      </c>
    </row>
    <row r="35" spans="1:3" s="42" customFormat="1">
      <c r="A35" s="238" t="s">
        <v>261</v>
      </c>
      <c r="B35" s="113" t="s">
        <v>575</v>
      </c>
      <c r="C35" s="567">
        <v>27500000</v>
      </c>
    </row>
    <row r="36" spans="1:3" s="42" customFormat="1" ht="13.5" thickBot="1">
      <c r="A36" s="240" t="s">
        <v>262</v>
      </c>
      <c r="B36" s="115" t="s">
        <v>267</v>
      </c>
      <c r="C36" s="568">
        <v>200000</v>
      </c>
    </row>
    <row r="37" spans="1:3" s="42" customFormat="1" ht="13.5" thickBot="1">
      <c r="A37" s="235" t="s">
        <v>18</v>
      </c>
      <c r="B37" s="236" t="s">
        <v>428</v>
      </c>
      <c r="C37" s="565">
        <f>SUM(C38:C48)</f>
        <v>130660612</v>
      </c>
    </row>
    <row r="38" spans="1:3" s="42" customFormat="1">
      <c r="A38" s="237" t="s">
        <v>86</v>
      </c>
      <c r="B38" s="112" t="s">
        <v>270</v>
      </c>
      <c r="C38" s="566"/>
    </row>
    <row r="39" spans="1:3" s="42" customFormat="1">
      <c r="A39" s="238" t="s">
        <v>87</v>
      </c>
      <c r="B39" s="113" t="s">
        <v>271</v>
      </c>
      <c r="C39" s="567">
        <f>99723710</f>
        <v>99723710</v>
      </c>
    </row>
    <row r="40" spans="1:3" s="42" customFormat="1">
      <c r="A40" s="238" t="s">
        <v>88</v>
      </c>
      <c r="B40" s="113" t="s">
        <v>272</v>
      </c>
      <c r="C40" s="567">
        <f>1650000</f>
        <v>1650000</v>
      </c>
    </row>
    <row r="41" spans="1:3" s="42" customFormat="1">
      <c r="A41" s="238" t="s">
        <v>164</v>
      </c>
      <c r="B41" s="113" t="s">
        <v>273</v>
      </c>
      <c r="C41" s="567"/>
    </row>
    <row r="42" spans="1:3" s="42" customFormat="1">
      <c r="A42" s="238" t="s">
        <v>165</v>
      </c>
      <c r="B42" s="113" t="s">
        <v>274</v>
      </c>
      <c r="C42" s="567">
        <f>1500000</f>
        <v>1500000</v>
      </c>
    </row>
    <row r="43" spans="1:3" s="42" customFormat="1">
      <c r="A43" s="238" t="s">
        <v>166</v>
      </c>
      <c r="B43" s="113" t="s">
        <v>275</v>
      </c>
      <c r="C43" s="567">
        <f>27775902</f>
        <v>27775902</v>
      </c>
    </row>
    <row r="44" spans="1:3" s="42" customFormat="1">
      <c r="A44" s="238" t="s">
        <v>167</v>
      </c>
      <c r="B44" s="113" t="s">
        <v>276</v>
      </c>
      <c r="C44" s="567"/>
    </row>
    <row r="45" spans="1:3" s="42" customFormat="1">
      <c r="A45" s="238" t="s">
        <v>168</v>
      </c>
      <c r="B45" s="113" t="s">
        <v>277</v>
      </c>
      <c r="C45" s="567">
        <f>1000</f>
        <v>1000</v>
      </c>
    </row>
    <row r="46" spans="1:3" s="42" customFormat="1">
      <c r="A46" s="238" t="s">
        <v>268</v>
      </c>
      <c r="B46" s="113" t="s">
        <v>278</v>
      </c>
      <c r="C46" s="567"/>
    </row>
    <row r="47" spans="1:3" s="42" customFormat="1">
      <c r="A47" s="240" t="s">
        <v>269</v>
      </c>
      <c r="B47" s="115" t="s">
        <v>430</v>
      </c>
      <c r="C47" s="568"/>
    </row>
    <row r="48" spans="1:3" s="42" customFormat="1" ht="13.5" thickBot="1">
      <c r="A48" s="240" t="s">
        <v>429</v>
      </c>
      <c r="B48" s="241" t="s">
        <v>279</v>
      </c>
      <c r="C48" s="568">
        <f>10000</f>
        <v>10000</v>
      </c>
    </row>
    <row r="49" spans="1:3" s="42" customFormat="1" ht="13.5" thickBot="1">
      <c r="A49" s="235" t="s">
        <v>19</v>
      </c>
      <c r="B49" s="236" t="s">
        <v>280</v>
      </c>
      <c r="C49" s="565">
        <f>SUM(C50:C54)</f>
        <v>7000000</v>
      </c>
    </row>
    <row r="50" spans="1:3" s="42" customFormat="1">
      <c r="A50" s="237" t="s">
        <v>89</v>
      </c>
      <c r="B50" s="112" t="s">
        <v>284</v>
      </c>
      <c r="C50" s="566"/>
    </row>
    <row r="51" spans="1:3" s="42" customFormat="1">
      <c r="A51" s="238" t="s">
        <v>90</v>
      </c>
      <c r="B51" s="113" t="s">
        <v>285</v>
      </c>
      <c r="C51" s="567">
        <v>7000000</v>
      </c>
    </row>
    <row r="52" spans="1:3" s="42" customFormat="1">
      <c r="A52" s="238" t="s">
        <v>281</v>
      </c>
      <c r="B52" s="113" t="s">
        <v>286</v>
      </c>
      <c r="C52" s="567"/>
    </row>
    <row r="53" spans="1:3" s="42" customFormat="1">
      <c r="A53" s="238" t="s">
        <v>282</v>
      </c>
      <c r="B53" s="113" t="s">
        <v>287</v>
      </c>
      <c r="C53" s="567"/>
    </row>
    <row r="54" spans="1:3" s="42" customFormat="1" ht="13.5" thickBot="1">
      <c r="A54" s="240" t="s">
        <v>283</v>
      </c>
      <c r="B54" s="241" t="s">
        <v>288</v>
      </c>
      <c r="C54" s="568"/>
    </row>
    <row r="55" spans="1:3" s="42" customFormat="1" ht="13.5" thickBot="1">
      <c r="A55" s="235" t="s">
        <v>169</v>
      </c>
      <c r="B55" s="236" t="s">
        <v>289</v>
      </c>
      <c r="C55" s="565">
        <f>SUM(C56:C58)</f>
        <v>505503</v>
      </c>
    </row>
    <row r="56" spans="1:3" s="42" customFormat="1" ht="25.5">
      <c r="A56" s="237" t="s">
        <v>91</v>
      </c>
      <c r="B56" s="112" t="s">
        <v>290</v>
      </c>
      <c r="C56" s="566"/>
    </row>
    <row r="57" spans="1:3" s="42" customFormat="1" ht="25.5">
      <c r="A57" s="238" t="s">
        <v>92</v>
      </c>
      <c r="B57" s="113" t="s">
        <v>420</v>
      </c>
      <c r="C57" s="567"/>
    </row>
    <row r="58" spans="1:3" s="42" customFormat="1">
      <c r="A58" s="238" t="s">
        <v>293</v>
      </c>
      <c r="B58" s="113" t="s">
        <v>291</v>
      </c>
      <c r="C58" s="567">
        <v>505503</v>
      </c>
    </row>
    <row r="59" spans="1:3" s="42" customFormat="1" ht="13.5" thickBot="1">
      <c r="A59" s="240" t="s">
        <v>294</v>
      </c>
      <c r="B59" s="241" t="s">
        <v>292</v>
      </c>
      <c r="C59" s="568"/>
    </row>
    <row r="60" spans="1:3" s="42" customFormat="1" ht="13.5" thickBot="1">
      <c r="A60" s="235" t="s">
        <v>21</v>
      </c>
      <c r="B60" s="242" t="s">
        <v>295</v>
      </c>
      <c r="C60" s="565">
        <f>SUM(C61:C63)</f>
        <v>100000</v>
      </c>
    </row>
    <row r="61" spans="1:3" s="42" customFormat="1" ht="25.5">
      <c r="A61" s="237" t="s">
        <v>170</v>
      </c>
      <c r="B61" s="112" t="s">
        <v>297</v>
      </c>
      <c r="C61" s="567"/>
    </row>
    <row r="62" spans="1:3" s="42" customFormat="1" ht="25.5">
      <c r="A62" s="238" t="s">
        <v>171</v>
      </c>
      <c r="B62" s="113" t="s">
        <v>421</v>
      </c>
      <c r="C62" s="567">
        <v>100000</v>
      </c>
    </row>
    <row r="63" spans="1:3" s="42" customFormat="1">
      <c r="A63" s="238" t="s">
        <v>218</v>
      </c>
      <c r="B63" s="113" t="s">
        <v>298</v>
      </c>
      <c r="C63" s="567"/>
    </row>
    <row r="64" spans="1:3" s="42" customFormat="1" ht="13.5" thickBot="1">
      <c r="A64" s="240" t="s">
        <v>296</v>
      </c>
      <c r="B64" s="241" t="s">
        <v>299</v>
      </c>
      <c r="C64" s="567"/>
    </row>
    <row r="65" spans="1:3" s="42" customFormat="1" ht="13.5" thickBot="1">
      <c r="A65" s="243" t="s">
        <v>472</v>
      </c>
      <c r="B65" s="236" t="s">
        <v>300</v>
      </c>
      <c r="C65" s="565">
        <f>+C8+C15+C22+C29+C37+C49+C55+C60</f>
        <v>613843483</v>
      </c>
    </row>
    <row r="66" spans="1:3" s="42" customFormat="1" ht="13.5" thickBot="1">
      <c r="A66" s="244" t="s">
        <v>301</v>
      </c>
      <c r="B66" s="242" t="s">
        <v>302</v>
      </c>
      <c r="C66" s="565">
        <f>SUM(C67:C69)</f>
        <v>0</v>
      </c>
    </row>
    <row r="67" spans="1:3" s="42" customFormat="1">
      <c r="A67" s="237" t="s">
        <v>333</v>
      </c>
      <c r="B67" s="112" t="s">
        <v>303</v>
      </c>
      <c r="C67" s="567"/>
    </row>
    <row r="68" spans="1:3" s="42" customFormat="1">
      <c r="A68" s="238" t="s">
        <v>342</v>
      </c>
      <c r="B68" s="113" t="s">
        <v>304</v>
      </c>
      <c r="C68" s="567"/>
    </row>
    <row r="69" spans="1:3" s="42" customFormat="1" ht="13.5" thickBot="1">
      <c r="A69" s="240" t="s">
        <v>343</v>
      </c>
      <c r="B69" s="245" t="s">
        <v>457</v>
      </c>
      <c r="C69" s="567"/>
    </row>
    <row r="70" spans="1:3" s="42" customFormat="1" ht="13.5" thickBot="1">
      <c r="A70" s="244" t="s">
        <v>306</v>
      </c>
      <c r="B70" s="242" t="s">
        <v>307</v>
      </c>
      <c r="C70" s="565">
        <f>SUM(C71:C74)</f>
        <v>0</v>
      </c>
    </row>
    <row r="71" spans="1:3" s="42" customFormat="1">
      <c r="A71" s="237" t="s">
        <v>140</v>
      </c>
      <c r="B71" s="112" t="s">
        <v>308</v>
      </c>
      <c r="C71" s="567"/>
    </row>
    <row r="72" spans="1:3" s="42" customFormat="1">
      <c r="A72" s="238" t="s">
        <v>141</v>
      </c>
      <c r="B72" s="113" t="s">
        <v>309</v>
      </c>
      <c r="C72" s="567"/>
    </row>
    <row r="73" spans="1:3" s="42" customFormat="1">
      <c r="A73" s="238" t="s">
        <v>334</v>
      </c>
      <c r="B73" s="113" t="s">
        <v>310</v>
      </c>
      <c r="C73" s="567"/>
    </row>
    <row r="74" spans="1:3" s="42" customFormat="1" ht="13.5" thickBot="1">
      <c r="A74" s="240" t="s">
        <v>335</v>
      </c>
      <c r="B74" s="241" t="s">
        <v>311</v>
      </c>
      <c r="C74" s="567"/>
    </row>
    <row r="75" spans="1:3" s="42" customFormat="1" ht="13.5" thickBot="1">
      <c r="A75" s="244" t="s">
        <v>312</v>
      </c>
      <c r="B75" s="242" t="s">
        <v>313</v>
      </c>
      <c r="C75" s="565">
        <f>SUM(C76:C77)</f>
        <v>541000000</v>
      </c>
    </row>
    <row r="76" spans="1:3" s="42" customFormat="1">
      <c r="A76" s="237" t="s">
        <v>336</v>
      </c>
      <c r="B76" s="112" t="s">
        <v>314</v>
      </c>
      <c r="C76" s="567">
        <f>541000000</f>
        <v>541000000</v>
      </c>
    </row>
    <row r="77" spans="1:3" s="42" customFormat="1" ht="13.5" thickBot="1">
      <c r="A77" s="240" t="s">
        <v>337</v>
      </c>
      <c r="B77" s="241" t="s">
        <v>315</v>
      </c>
      <c r="C77" s="567"/>
    </row>
    <row r="78" spans="1:3" s="42" customFormat="1" ht="13.5" thickBot="1">
      <c r="A78" s="244" t="s">
        <v>316</v>
      </c>
      <c r="B78" s="242" t="s">
        <v>317</v>
      </c>
      <c r="C78" s="565">
        <f>SUM(C79:C81)</f>
        <v>0</v>
      </c>
    </row>
    <row r="79" spans="1:3" s="42" customFormat="1">
      <c r="A79" s="237" t="s">
        <v>338</v>
      </c>
      <c r="B79" s="112" t="s">
        <v>318</v>
      </c>
      <c r="C79" s="567"/>
    </row>
    <row r="80" spans="1:3" s="42" customFormat="1">
      <c r="A80" s="238" t="s">
        <v>339</v>
      </c>
      <c r="B80" s="113" t="s">
        <v>319</v>
      </c>
      <c r="C80" s="567"/>
    </row>
    <row r="81" spans="1:3" s="42" customFormat="1" ht="13.5" thickBot="1">
      <c r="A81" s="240" t="s">
        <v>340</v>
      </c>
      <c r="B81" s="241" t="s">
        <v>320</v>
      </c>
      <c r="C81" s="567"/>
    </row>
    <row r="82" spans="1:3" s="42" customFormat="1" ht="13.5" thickBot="1">
      <c r="A82" s="244" t="s">
        <v>321</v>
      </c>
      <c r="B82" s="242" t="s">
        <v>341</v>
      </c>
      <c r="C82" s="565">
        <f>SUM(C83:C86)</f>
        <v>0</v>
      </c>
    </row>
    <row r="83" spans="1:3" s="42" customFormat="1">
      <c r="A83" s="246" t="s">
        <v>322</v>
      </c>
      <c r="B83" s="112" t="s">
        <v>323</v>
      </c>
      <c r="C83" s="567"/>
    </row>
    <row r="84" spans="1:3" s="42" customFormat="1">
      <c r="A84" s="247" t="s">
        <v>324</v>
      </c>
      <c r="B84" s="113" t="s">
        <v>325</v>
      </c>
      <c r="C84" s="567"/>
    </row>
    <row r="85" spans="1:3" s="42" customFormat="1">
      <c r="A85" s="247" t="s">
        <v>326</v>
      </c>
      <c r="B85" s="113" t="s">
        <v>327</v>
      </c>
      <c r="C85" s="567"/>
    </row>
    <row r="86" spans="1:3" s="42" customFormat="1" ht="13.5" thickBot="1">
      <c r="A86" s="248" t="s">
        <v>328</v>
      </c>
      <c r="B86" s="241" t="s">
        <v>329</v>
      </c>
      <c r="C86" s="567"/>
    </row>
    <row r="87" spans="1:3" s="42" customFormat="1" ht="13.5" thickBot="1">
      <c r="A87" s="244" t="s">
        <v>330</v>
      </c>
      <c r="B87" s="242" t="s">
        <v>471</v>
      </c>
      <c r="C87" s="570"/>
    </row>
    <row r="88" spans="1:3" s="42" customFormat="1" ht="13.5" thickBot="1">
      <c r="A88" s="244" t="s">
        <v>332</v>
      </c>
      <c r="B88" s="242" t="s">
        <v>331</v>
      </c>
      <c r="C88" s="570"/>
    </row>
    <row r="89" spans="1:3" s="42" customFormat="1" ht="13.5" thickBot="1">
      <c r="A89" s="244" t="s">
        <v>344</v>
      </c>
      <c r="B89" s="249" t="s">
        <v>474</v>
      </c>
      <c r="C89" s="565">
        <f>+C66+C70+C75+C78+C82+C88+C87</f>
        <v>541000000</v>
      </c>
    </row>
    <row r="90" spans="1:3" s="42" customFormat="1" ht="26.25" thickBot="1">
      <c r="A90" s="627" t="s">
        <v>473</v>
      </c>
      <c r="B90" s="251" t="s">
        <v>475</v>
      </c>
      <c r="C90" s="565">
        <f>C65+C89</f>
        <v>1154843483</v>
      </c>
    </row>
    <row r="91" spans="1:3" s="42" customFormat="1">
      <c r="A91" s="628"/>
      <c r="B91" s="629"/>
      <c r="C91" s="651"/>
    </row>
    <row r="92" spans="1:3" s="624" customFormat="1">
      <c r="A92" s="776" t="s">
        <v>42</v>
      </c>
      <c r="B92" s="776"/>
      <c r="C92" s="234"/>
    </row>
    <row r="93" spans="1:3" s="630" customFormat="1" ht="14.25" thickBot="1">
      <c r="A93" s="777" t="s">
        <v>143</v>
      </c>
      <c r="B93" s="777"/>
      <c r="C93" s="562" t="s">
        <v>581</v>
      </c>
    </row>
    <row r="94" spans="1:3" s="624" customFormat="1" ht="26.25" thickBot="1">
      <c r="A94" s="232" t="s">
        <v>64</v>
      </c>
      <c r="B94" s="233" t="s">
        <v>43</v>
      </c>
      <c r="C94" s="563" t="s">
        <v>692</v>
      </c>
    </row>
    <row r="95" spans="1:3" s="42" customFormat="1" ht="13.5" thickBot="1">
      <c r="A95" s="232" t="s">
        <v>483</v>
      </c>
      <c r="B95" s="233" t="s">
        <v>484</v>
      </c>
      <c r="C95" s="564" t="s">
        <v>486</v>
      </c>
    </row>
    <row r="96" spans="1:3" s="624" customFormat="1" ht="13.5" thickBot="1">
      <c r="A96" s="252" t="s">
        <v>14</v>
      </c>
      <c r="B96" s="253" t="s">
        <v>631</v>
      </c>
      <c r="C96" s="572">
        <f>C97+C98+C99+C100+C101+C114</f>
        <v>576038614</v>
      </c>
    </row>
    <row r="97" spans="1:3" s="624" customFormat="1">
      <c r="A97" s="254" t="s">
        <v>93</v>
      </c>
      <c r="B97" s="255" t="s">
        <v>44</v>
      </c>
      <c r="C97" s="573">
        <v>81039317</v>
      </c>
    </row>
    <row r="98" spans="1:3" s="624" customFormat="1">
      <c r="A98" s="238" t="s">
        <v>94</v>
      </c>
      <c r="B98" s="256" t="s">
        <v>172</v>
      </c>
      <c r="C98" s="574">
        <v>17133121</v>
      </c>
    </row>
    <row r="99" spans="1:3" s="624" customFormat="1">
      <c r="A99" s="238" t="s">
        <v>95</v>
      </c>
      <c r="B99" s="256" t="s">
        <v>131</v>
      </c>
      <c r="C99" s="575">
        <v>263854593</v>
      </c>
    </row>
    <row r="100" spans="1:3" s="624" customFormat="1">
      <c r="A100" s="238" t="s">
        <v>96</v>
      </c>
      <c r="B100" s="257" t="s">
        <v>173</v>
      </c>
      <c r="C100" s="575">
        <v>7330000</v>
      </c>
    </row>
    <row r="101" spans="1:3" s="624" customFormat="1">
      <c r="A101" s="238" t="s">
        <v>107</v>
      </c>
      <c r="B101" s="258" t="s">
        <v>174</v>
      </c>
      <c r="C101" s="575">
        <f>C102+C103+C104+C105+C106+C107+C108+C109+C110+C111+C112+C113</f>
        <v>173511355</v>
      </c>
    </row>
    <row r="102" spans="1:3" s="624" customFormat="1">
      <c r="A102" s="238" t="s">
        <v>97</v>
      </c>
      <c r="B102" s="256" t="s">
        <v>438</v>
      </c>
      <c r="C102" s="575"/>
    </row>
    <row r="103" spans="1:3" s="624" customFormat="1">
      <c r="A103" s="238" t="s">
        <v>98</v>
      </c>
      <c r="B103" s="259" t="s">
        <v>437</v>
      </c>
      <c r="C103" s="575"/>
    </row>
    <row r="104" spans="1:3" s="624" customFormat="1">
      <c r="A104" s="238" t="s">
        <v>108</v>
      </c>
      <c r="B104" s="259" t="s">
        <v>436</v>
      </c>
      <c r="C104" s="575">
        <v>1505503</v>
      </c>
    </row>
    <row r="105" spans="1:3" s="624" customFormat="1">
      <c r="A105" s="238" t="s">
        <v>109</v>
      </c>
      <c r="B105" s="260" t="s">
        <v>347</v>
      </c>
      <c r="C105" s="575"/>
    </row>
    <row r="106" spans="1:3" s="624" customFormat="1" ht="25.5">
      <c r="A106" s="238" t="s">
        <v>110</v>
      </c>
      <c r="B106" s="261" t="s">
        <v>348</v>
      </c>
      <c r="C106" s="575"/>
    </row>
    <row r="107" spans="1:3" s="624" customFormat="1" ht="25.5">
      <c r="A107" s="238" t="s">
        <v>111</v>
      </c>
      <c r="B107" s="261" t="s">
        <v>349</v>
      </c>
      <c r="C107" s="575"/>
    </row>
    <row r="108" spans="1:3" s="624" customFormat="1">
      <c r="A108" s="238" t="s">
        <v>113</v>
      </c>
      <c r="B108" s="260" t="s">
        <v>350</v>
      </c>
      <c r="C108" s="575">
        <v>129940852</v>
      </c>
    </row>
    <row r="109" spans="1:3" s="624" customFormat="1">
      <c r="A109" s="238" t="s">
        <v>175</v>
      </c>
      <c r="B109" s="260" t="s">
        <v>351</v>
      </c>
      <c r="C109" s="575"/>
    </row>
    <row r="110" spans="1:3" s="624" customFormat="1" ht="25.5">
      <c r="A110" s="238" t="s">
        <v>345</v>
      </c>
      <c r="B110" s="261" t="s">
        <v>352</v>
      </c>
      <c r="C110" s="575"/>
    </row>
    <row r="111" spans="1:3" s="624" customFormat="1">
      <c r="A111" s="262" t="s">
        <v>346</v>
      </c>
      <c r="B111" s="259" t="s">
        <v>353</v>
      </c>
      <c r="C111" s="575"/>
    </row>
    <row r="112" spans="1:3" s="624" customFormat="1">
      <c r="A112" s="238" t="s">
        <v>434</v>
      </c>
      <c r="B112" s="259" t="s">
        <v>354</v>
      </c>
      <c r="C112" s="575"/>
    </row>
    <row r="113" spans="1:3" s="624" customFormat="1" ht="25.5">
      <c r="A113" s="240" t="s">
        <v>435</v>
      </c>
      <c r="B113" s="259" t="s">
        <v>355</v>
      </c>
      <c r="C113" s="575">
        <v>42065000</v>
      </c>
    </row>
    <row r="114" spans="1:3" s="624" customFormat="1">
      <c r="A114" s="238" t="s">
        <v>439</v>
      </c>
      <c r="B114" s="257" t="s">
        <v>45</v>
      </c>
      <c r="C114" s="576">
        <f>C115+C117</f>
        <v>33170228</v>
      </c>
    </row>
    <row r="115" spans="1:3" s="624" customFormat="1">
      <c r="A115" s="238" t="s">
        <v>440</v>
      </c>
      <c r="B115" s="256" t="s">
        <v>442</v>
      </c>
      <c r="C115" s="574">
        <v>4078482</v>
      </c>
    </row>
    <row r="116" spans="1:3" s="624" customFormat="1" ht="25.5">
      <c r="A116" s="238"/>
      <c r="B116" s="256" t="s">
        <v>665</v>
      </c>
      <c r="C116" s="575"/>
    </row>
    <row r="117" spans="1:3" s="624" customFormat="1" ht="13.5" thickBot="1">
      <c r="A117" s="238" t="s">
        <v>441</v>
      </c>
      <c r="B117" s="631" t="s">
        <v>443</v>
      </c>
      <c r="C117" s="577">
        <v>29091746</v>
      </c>
    </row>
    <row r="118" spans="1:3" s="624" customFormat="1" ht="13.5" thickBot="1">
      <c r="A118" s="235" t="s">
        <v>15</v>
      </c>
      <c r="B118" s="656" t="s">
        <v>632</v>
      </c>
      <c r="C118" s="578">
        <f>+C119+C121+C123</f>
        <v>394436461</v>
      </c>
    </row>
    <row r="119" spans="1:3" s="624" customFormat="1">
      <c r="A119" s="237" t="s">
        <v>99</v>
      </c>
      <c r="B119" s="256" t="s">
        <v>217</v>
      </c>
      <c r="C119" s="579">
        <v>304198564</v>
      </c>
    </row>
    <row r="120" spans="1:3" s="624" customFormat="1">
      <c r="A120" s="237" t="s">
        <v>100</v>
      </c>
      <c r="B120" s="267" t="s">
        <v>359</v>
      </c>
      <c r="C120" s="579"/>
    </row>
    <row r="121" spans="1:3" s="624" customFormat="1">
      <c r="A121" s="237" t="s">
        <v>101</v>
      </c>
      <c r="B121" s="267" t="s">
        <v>176</v>
      </c>
      <c r="C121" s="574">
        <v>89587897</v>
      </c>
    </row>
    <row r="122" spans="1:3" s="624" customFormat="1">
      <c r="A122" s="237" t="s">
        <v>102</v>
      </c>
      <c r="B122" s="267" t="s">
        <v>360</v>
      </c>
      <c r="C122" s="580"/>
    </row>
    <row r="123" spans="1:3" s="624" customFormat="1">
      <c r="A123" s="237" t="s">
        <v>103</v>
      </c>
      <c r="B123" s="241" t="s">
        <v>219</v>
      </c>
      <c r="C123" s="580">
        <f>C124+C125+C126+C127+C128+C129+C130+C131</f>
        <v>650000</v>
      </c>
    </row>
    <row r="124" spans="1:3" s="624" customFormat="1">
      <c r="A124" s="237" t="s">
        <v>112</v>
      </c>
      <c r="B124" s="239" t="s">
        <v>422</v>
      </c>
      <c r="C124" s="580"/>
    </row>
    <row r="125" spans="1:3" s="624" customFormat="1" ht="25.5">
      <c r="A125" s="237" t="s">
        <v>114</v>
      </c>
      <c r="B125" s="268" t="s">
        <v>365</v>
      </c>
      <c r="C125" s="580"/>
    </row>
    <row r="126" spans="1:3" s="624" customFormat="1" ht="25.5">
      <c r="A126" s="237" t="s">
        <v>177</v>
      </c>
      <c r="B126" s="261" t="s">
        <v>349</v>
      </c>
      <c r="C126" s="580"/>
    </row>
    <row r="127" spans="1:3" s="624" customFormat="1">
      <c r="A127" s="237" t="s">
        <v>178</v>
      </c>
      <c r="B127" s="261" t="s">
        <v>364</v>
      </c>
      <c r="C127" s="580"/>
    </row>
    <row r="128" spans="1:3" s="624" customFormat="1">
      <c r="A128" s="237" t="s">
        <v>179</v>
      </c>
      <c r="B128" s="261" t="s">
        <v>363</v>
      </c>
      <c r="C128" s="580"/>
    </row>
    <row r="129" spans="1:3" s="624" customFormat="1" ht="25.5">
      <c r="A129" s="237" t="s">
        <v>356</v>
      </c>
      <c r="B129" s="261" t="s">
        <v>352</v>
      </c>
      <c r="C129" s="580"/>
    </row>
    <row r="130" spans="1:3" s="624" customFormat="1">
      <c r="A130" s="237" t="s">
        <v>357</v>
      </c>
      <c r="B130" s="261" t="s">
        <v>362</v>
      </c>
      <c r="C130" s="580"/>
    </row>
    <row r="131" spans="1:3" s="624" customFormat="1" ht="26.25" thickBot="1">
      <c r="A131" s="262" t="s">
        <v>358</v>
      </c>
      <c r="B131" s="261" t="s">
        <v>361</v>
      </c>
      <c r="C131" s="581">
        <v>650000</v>
      </c>
    </row>
    <row r="132" spans="1:3" s="624" customFormat="1" ht="13.5" thickBot="1">
      <c r="A132" s="235" t="s">
        <v>16</v>
      </c>
      <c r="B132" s="269" t="s">
        <v>444</v>
      </c>
      <c r="C132" s="582">
        <f>+C96+C118</f>
        <v>970475075</v>
      </c>
    </row>
    <row r="133" spans="1:3" s="624" customFormat="1" ht="13.5" thickBot="1">
      <c r="A133" s="235" t="s">
        <v>17</v>
      </c>
      <c r="B133" s="269" t="s">
        <v>445</v>
      </c>
      <c r="C133" s="582">
        <f>+C134+C135+C136</f>
        <v>0</v>
      </c>
    </row>
    <row r="134" spans="1:3" s="624" customFormat="1" ht="25.5">
      <c r="A134" s="237" t="s">
        <v>257</v>
      </c>
      <c r="B134" s="267" t="s">
        <v>452</v>
      </c>
      <c r="C134" s="580"/>
    </row>
    <row r="135" spans="1:3" s="624" customFormat="1" ht="25.5">
      <c r="A135" s="237" t="s">
        <v>260</v>
      </c>
      <c r="B135" s="267" t="s">
        <v>453</v>
      </c>
      <c r="C135" s="580"/>
    </row>
    <row r="136" spans="1:3" s="624" customFormat="1" ht="13.5" thickBot="1">
      <c r="A136" s="262" t="s">
        <v>261</v>
      </c>
      <c r="B136" s="267" t="s">
        <v>454</v>
      </c>
      <c r="C136" s="580"/>
    </row>
    <row r="137" spans="1:3" s="624" customFormat="1" ht="13.5" thickBot="1">
      <c r="A137" s="235" t="s">
        <v>18</v>
      </c>
      <c r="B137" s="269" t="s">
        <v>446</v>
      </c>
      <c r="C137" s="582">
        <f>SUM(C138:C143)</f>
        <v>0</v>
      </c>
    </row>
    <row r="138" spans="1:3" s="624" customFormat="1">
      <c r="A138" s="237" t="s">
        <v>86</v>
      </c>
      <c r="B138" s="270" t="s">
        <v>455</v>
      </c>
      <c r="C138" s="580"/>
    </row>
    <row r="139" spans="1:3" s="624" customFormat="1">
      <c r="A139" s="237" t="s">
        <v>87</v>
      </c>
      <c r="B139" s="270" t="s">
        <v>447</v>
      </c>
      <c r="C139" s="580"/>
    </row>
    <row r="140" spans="1:3" s="624" customFormat="1">
      <c r="A140" s="237" t="s">
        <v>88</v>
      </c>
      <c r="B140" s="270" t="s">
        <v>448</v>
      </c>
      <c r="C140" s="580"/>
    </row>
    <row r="141" spans="1:3" s="624" customFormat="1">
      <c r="A141" s="237" t="s">
        <v>164</v>
      </c>
      <c r="B141" s="270" t="s">
        <v>449</v>
      </c>
      <c r="C141" s="580"/>
    </row>
    <row r="142" spans="1:3" s="624" customFormat="1">
      <c r="A142" s="237" t="s">
        <v>165</v>
      </c>
      <c r="B142" s="270" t="s">
        <v>450</v>
      </c>
      <c r="C142" s="580"/>
    </row>
    <row r="143" spans="1:3" s="624" customFormat="1" ht="13.5" thickBot="1">
      <c r="A143" s="262" t="s">
        <v>166</v>
      </c>
      <c r="B143" s="270" t="s">
        <v>451</v>
      </c>
      <c r="C143" s="580"/>
    </row>
    <row r="144" spans="1:3" s="624" customFormat="1" ht="13.5" thickBot="1">
      <c r="A144" s="235" t="s">
        <v>19</v>
      </c>
      <c r="B144" s="269" t="s">
        <v>459</v>
      </c>
      <c r="C144" s="583">
        <f>+C145+C146+C147+C148</f>
        <v>8107720</v>
      </c>
    </row>
    <row r="145" spans="1:3" s="624" customFormat="1">
      <c r="A145" s="237" t="s">
        <v>89</v>
      </c>
      <c r="B145" s="270" t="s">
        <v>366</v>
      </c>
      <c r="C145" s="580"/>
    </row>
    <row r="146" spans="1:3" s="624" customFormat="1">
      <c r="A146" s="237" t="s">
        <v>90</v>
      </c>
      <c r="B146" s="270" t="s">
        <v>367</v>
      </c>
      <c r="C146" s="580">
        <v>8107720</v>
      </c>
    </row>
    <row r="147" spans="1:3" s="624" customFormat="1">
      <c r="A147" s="237" t="s">
        <v>281</v>
      </c>
      <c r="B147" s="270" t="s">
        <v>460</v>
      </c>
      <c r="C147" s="580"/>
    </row>
    <row r="148" spans="1:3" s="624" customFormat="1" ht="13.5" thickBot="1">
      <c r="A148" s="262" t="s">
        <v>282</v>
      </c>
      <c r="B148" s="271" t="s">
        <v>386</v>
      </c>
      <c r="C148" s="580"/>
    </row>
    <row r="149" spans="1:3" s="624" customFormat="1" ht="13.5" thickBot="1">
      <c r="A149" s="235" t="s">
        <v>20</v>
      </c>
      <c r="B149" s="269" t="s">
        <v>461</v>
      </c>
      <c r="C149" s="584">
        <f>SUM(C150:C154)</f>
        <v>0</v>
      </c>
    </row>
    <row r="150" spans="1:3" s="624" customFormat="1">
      <c r="A150" s="237" t="s">
        <v>91</v>
      </c>
      <c r="B150" s="270" t="s">
        <v>456</v>
      </c>
      <c r="C150" s="580"/>
    </row>
    <row r="151" spans="1:3" s="624" customFormat="1">
      <c r="A151" s="237" t="s">
        <v>92</v>
      </c>
      <c r="B151" s="270" t="s">
        <v>463</v>
      </c>
      <c r="C151" s="580"/>
    </row>
    <row r="152" spans="1:3" s="624" customFormat="1">
      <c r="A152" s="237" t="s">
        <v>293</v>
      </c>
      <c r="B152" s="270" t="s">
        <v>458</v>
      </c>
      <c r="C152" s="580"/>
    </row>
    <row r="153" spans="1:3" s="624" customFormat="1" ht="25.5">
      <c r="A153" s="237" t="s">
        <v>294</v>
      </c>
      <c r="B153" s="270" t="s">
        <v>464</v>
      </c>
      <c r="C153" s="580"/>
    </row>
    <row r="154" spans="1:3" s="624" customFormat="1" ht="13.5" thickBot="1">
      <c r="A154" s="237" t="s">
        <v>462</v>
      </c>
      <c r="B154" s="270" t="s">
        <v>465</v>
      </c>
      <c r="C154" s="580"/>
    </row>
    <row r="155" spans="1:3" s="624" customFormat="1" ht="13.5" thickBot="1">
      <c r="A155" s="235" t="s">
        <v>21</v>
      </c>
      <c r="B155" s="269" t="s">
        <v>466</v>
      </c>
      <c r="C155" s="585"/>
    </row>
    <row r="156" spans="1:3" s="624" customFormat="1" ht="13.5" thickBot="1">
      <c r="A156" s="235" t="s">
        <v>22</v>
      </c>
      <c r="B156" s="269" t="s">
        <v>541</v>
      </c>
      <c r="C156" s="585">
        <v>176260688</v>
      </c>
    </row>
    <row r="157" spans="1:3" s="624" customFormat="1" ht="13.5" thickBot="1">
      <c r="A157" s="235" t="s">
        <v>23</v>
      </c>
      <c r="B157" s="269" t="s">
        <v>469</v>
      </c>
      <c r="C157" s="586">
        <f>+C133+C137+C144+C149+C155+C156</f>
        <v>184368408</v>
      </c>
    </row>
    <row r="158" spans="1:3" s="42" customFormat="1" ht="13.5" thickBot="1">
      <c r="A158" s="273" t="s">
        <v>24</v>
      </c>
      <c r="B158" s="274" t="s">
        <v>468</v>
      </c>
      <c r="C158" s="586">
        <f>C132+C157</f>
        <v>1154843483</v>
      </c>
    </row>
    <row r="159" spans="1:3" ht="13.5" thickBot="1">
      <c r="C159" s="657"/>
    </row>
    <row r="160" spans="1:3" s="9" customFormat="1" ht="13.5" thickBot="1">
      <c r="A160" s="30" t="s">
        <v>510</v>
      </c>
      <c r="B160" s="31"/>
      <c r="C160" s="660">
        <v>20</v>
      </c>
    </row>
    <row r="161" spans="1:3" s="9" customFormat="1" ht="13.5" thickBot="1">
      <c r="A161" s="30" t="s">
        <v>194</v>
      </c>
      <c r="B161" s="31"/>
      <c r="C161" s="32">
        <v>2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5" orientation="portrait" verticalDpi="300" r:id="rId1"/>
  <headerFooter alignWithMargins="0">
    <oddFooter>&amp;P. oldal, összesen: &amp;N</oddFooter>
  </headerFooter>
  <rowBreaks count="3" manualBreakCount="3">
    <brk id="65" max="16383" man="1"/>
    <brk id="91" max="16383" man="1"/>
    <brk id="13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7030A0"/>
  </sheetPr>
  <dimension ref="A1:F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28" customWidth="1"/>
    <col min="2" max="2" width="72" style="9" customWidth="1"/>
    <col min="3" max="3" width="20.33203125" style="29" bestFit="1" customWidth="1"/>
    <col min="4" max="5" width="9.33203125" style="109"/>
    <col min="6" max="6" width="9.5" style="109" bestFit="1" customWidth="1"/>
    <col min="7" max="16384" width="9.33203125" style="109"/>
  </cols>
  <sheetData>
    <row r="1" spans="1:3" s="102" customFormat="1" ht="16.5" customHeight="1" thickBot="1">
      <c r="A1" s="1"/>
      <c r="B1" s="103" t="s">
        <v>719</v>
      </c>
      <c r="C1" s="103"/>
    </row>
    <row r="2" spans="1:3" s="105" customFormat="1" ht="21" customHeight="1">
      <c r="A2" s="2" t="s">
        <v>56</v>
      </c>
      <c r="B2" s="3" t="s">
        <v>536</v>
      </c>
      <c r="C2" s="104" t="s">
        <v>49</v>
      </c>
    </row>
    <row r="3" spans="1:3" s="105" customFormat="1" ht="16.5" thickBot="1">
      <c r="A3" s="106" t="s">
        <v>191</v>
      </c>
      <c r="B3" s="4" t="s">
        <v>423</v>
      </c>
      <c r="C3" s="107" t="s">
        <v>54</v>
      </c>
    </row>
    <row r="4" spans="1:3" s="108" customFormat="1" ht="15.95" customHeight="1" thickBot="1">
      <c r="A4" s="5"/>
      <c r="B4" s="5"/>
      <c r="C4" s="6" t="s">
        <v>581</v>
      </c>
    </row>
    <row r="5" spans="1:3" ht="13.5" thickBot="1">
      <c r="A5" s="7" t="s">
        <v>193</v>
      </c>
      <c r="B5" s="8" t="s">
        <v>50</v>
      </c>
      <c r="C5" s="645"/>
    </row>
    <row r="6" spans="1:3" s="33" customFormat="1" ht="38.1" customHeight="1" thickBot="1">
      <c r="A6" s="34" t="s">
        <v>64</v>
      </c>
      <c r="B6" s="35" t="s">
        <v>13</v>
      </c>
      <c r="C6" s="563" t="s">
        <v>692</v>
      </c>
    </row>
    <row r="7" spans="1:3" s="38" customFormat="1" ht="12" customHeight="1" thickBot="1">
      <c r="A7" s="36" t="s">
        <v>483</v>
      </c>
      <c r="B7" s="37" t="s">
        <v>484</v>
      </c>
      <c r="C7" s="646" t="s">
        <v>485</v>
      </c>
    </row>
    <row r="8" spans="1:3" s="42" customFormat="1" ht="12" customHeight="1" thickBot="1">
      <c r="A8" s="39" t="s">
        <v>14</v>
      </c>
      <c r="B8" s="40" t="s">
        <v>241</v>
      </c>
      <c r="C8" s="41">
        <f>+C9+C10+C11+C12+C13+C14</f>
        <v>223966276</v>
      </c>
    </row>
    <row r="9" spans="1:3" s="42" customFormat="1" ht="12" customHeight="1">
      <c r="A9" s="43" t="s">
        <v>93</v>
      </c>
      <c r="B9" s="44" t="s">
        <v>242</v>
      </c>
      <c r="C9" s="45">
        <v>118506104</v>
      </c>
    </row>
    <row r="10" spans="1:3" s="42" customFormat="1" ht="12" customHeight="1">
      <c r="A10" s="46" t="s">
        <v>94</v>
      </c>
      <c r="B10" s="47" t="s">
        <v>243</v>
      </c>
      <c r="C10" s="48">
        <v>64532484</v>
      </c>
    </row>
    <row r="11" spans="1:3" s="42" customFormat="1" ht="12" customHeight="1">
      <c r="A11" s="46" t="s">
        <v>95</v>
      </c>
      <c r="B11" s="47" t="s">
        <v>244</v>
      </c>
      <c r="C11" s="48">
        <v>37842188</v>
      </c>
    </row>
    <row r="12" spans="1:3" s="42" customFormat="1" ht="12" customHeight="1">
      <c r="A12" s="46" t="s">
        <v>96</v>
      </c>
      <c r="B12" s="47" t="s">
        <v>245</v>
      </c>
      <c r="C12" s="48">
        <v>3085500</v>
      </c>
    </row>
    <row r="13" spans="1:3" s="42" customFormat="1" ht="12" customHeight="1">
      <c r="A13" s="46" t="s">
        <v>139</v>
      </c>
      <c r="B13" s="49" t="s">
        <v>426</v>
      </c>
      <c r="C13" s="48"/>
    </row>
    <row r="14" spans="1:3" s="42" customFormat="1" ht="12" customHeight="1" thickBot="1">
      <c r="A14" s="50" t="s">
        <v>97</v>
      </c>
      <c r="B14" s="51" t="s">
        <v>427</v>
      </c>
      <c r="C14" s="48"/>
    </row>
    <row r="15" spans="1:3" s="42" customFormat="1" ht="12" customHeight="1" thickBot="1">
      <c r="A15" s="39" t="s">
        <v>15</v>
      </c>
      <c r="B15" s="52" t="s">
        <v>246</v>
      </c>
      <c r="C15" s="41">
        <f>+C16+C17+C18+C19+C20</f>
        <v>75066371</v>
      </c>
    </row>
    <row r="16" spans="1:3" s="42" customFormat="1" ht="12" customHeight="1">
      <c r="A16" s="43" t="s">
        <v>99</v>
      </c>
      <c r="B16" s="44" t="s">
        <v>247</v>
      </c>
      <c r="C16" s="45"/>
    </row>
    <row r="17" spans="1:3" s="42" customFormat="1" ht="12" customHeight="1">
      <c r="A17" s="46" t="s">
        <v>100</v>
      </c>
      <c r="B17" s="47" t="s">
        <v>248</v>
      </c>
      <c r="C17" s="48"/>
    </row>
    <row r="18" spans="1:3" s="42" customFormat="1" ht="12" customHeight="1">
      <c r="A18" s="46" t="s">
        <v>101</v>
      </c>
      <c r="B18" s="47" t="s">
        <v>416</v>
      </c>
      <c r="C18" s="48"/>
    </row>
    <row r="19" spans="1:3" s="42" customFormat="1" ht="12" customHeight="1">
      <c r="A19" s="46" t="s">
        <v>102</v>
      </c>
      <c r="B19" s="47" t="s">
        <v>417</v>
      </c>
      <c r="C19" s="48"/>
    </row>
    <row r="20" spans="1:3" s="42" customFormat="1" ht="12" customHeight="1">
      <c r="A20" s="46" t="s">
        <v>103</v>
      </c>
      <c r="B20" s="47" t="s">
        <v>249</v>
      </c>
      <c r="C20" s="48">
        <v>75066371</v>
      </c>
    </row>
    <row r="21" spans="1:3" s="42" customFormat="1" ht="12" customHeight="1" thickBot="1">
      <c r="A21" s="50" t="s">
        <v>112</v>
      </c>
      <c r="B21" s="51" t="s">
        <v>250</v>
      </c>
      <c r="C21" s="53"/>
    </row>
    <row r="22" spans="1:3" s="42" customFormat="1" ht="12" customHeight="1" thickBot="1">
      <c r="A22" s="39" t="s">
        <v>16</v>
      </c>
      <c r="B22" s="40" t="s">
        <v>251</v>
      </c>
      <c r="C22" s="41">
        <f>+C23+C24+C25+C26+C27</f>
        <v>39844721</v>
      </c>
    </row>
    <row r="23" spans="1:3" s="42" customFormat="1" ht="12" customHeight="1">
      <c r="A23" s="43" t="s">
        <v>82</v>
      </c>
      <c r="B23" s="44" t="s">
        <v>252</v>
      </c>
      <c r="C23" s="45"/>
    </row>
    <row r="24" spans="1:3" s="42" customFormat="1" ht="12" customHeight="1">
      <c r="A24" s="46" t="s">
        <v>83</v>
      </c>
      <c r="B24" s="47" t="s">
        <v>253</v>
      </c>
      <c r="C24" s="48"/>
    </row>
    <row r="25" spans="1:3" s="42" customFormat="1" ht="12" customHeight="1">
      <c r="A25" s="46" t="s">
        <v>84</v>
      </c>
      <c r="B25" s="47" t="s">
        <v>418</v>
      </c>
      <c r="C25" s="48"/>
    </row>
    <row r="26" spans="1:3" s="42" customFormat="1" ht="12" customHeight="1">
      <c r="A26" s="46" t="s">
        <v>85</v>
      </c>
      <c r="B26" s="47" t="s">
        <v>419</v>
      </c>
      <c r="C26" s="48"/>
    </row>
    <row r="27" spans="1:3" s="42" customFormat="1" ht="12" customHeight="1">
      <c r="A27" s="46" t="s">
        <v>160</v>
      </c>
      <c r="B27" s="47" t="s">
        <v>254</v>
      </c>
      <c r="C27" s="48">
        <v>39844721</v>
      </c>
    </row>
    <row r="28" spans="1:3" s="42" customFormat="1" ht="12" customHeight="1" thickBot="1">
      <c r="A28" s="50" t="s">
        <v>161</v>
      </c>
      <c r="B28" s="54" t="s">
        <v>255</v>
      </c>
      <c r="C28" s="53"/>
    </row>
    <row r="29" spans="1:3" s="42" customFormat="1" ht="12" customHeight="1" thickBot="1">
      <c r="A29" s="39" t="s">
        <v>162</v>
      </c>
      <c r="B29" s="40" t="s">
        <v>256</v>
      </c>
      <c r="C29" s="55">
        <f>+C30+C34+C35+C36</f>
        <v>136700000</v>
      </c>
    </row>
    <row r="30" spans="1:3" s="42" customFormat="1" ht="12" customHeight="1">
      <c r="A30" s="43" t="s">
        <v>257</v>
      </c>
      <c r="B30" s="112" t="s">
        <v>433</v>
      </c>
      <c r="C30" s="56">
        <f>+C31+C32+C33</f>
        <v>100000000</v>
      </c>
    </row>
    <row r="31" spans="1:3" s="42" customFormat="1" ht="12" customHeight="1">
      <c r="A31" s="46" t="s">
        <v>258</v>
      </c>
      <c r="B31" s="113" t="s">
        <v>593</v>
      </c>
      <c r="C31" s="48">
        <v>58000000</v>
      </c>
    </row>
    <row r="32" spans="1:3" s="42" customFormat="1" ht="12" customHeight="1">
      <c r="A32" s="46" t="s">
        <v>259</v>
      </c>
      <c r="B32" s="113" t="s">
        <v>594</v>
      </c>
      <c r="C32" s="48"/>
    </row>
    <row r="33" spans="1:6" s="42" customFormat="1" ht="12" customHeight="1">
      <c r="A33" s="46" t="s">
        <v>431</v>
      </c>
      <c r="B33" s="114" t="s">
        <v>432</v>
      </c>
      <c r="C33" s="48">
        <v>42000000</v>
      </c>
    </row>
    <row r="34" spans="1:6" s="42" customFormat="1" ht="12" customHeight="1">
      <c r="A34" s="46" t="s">
        <v>260</v>
      </c>
      <c r="B34" s="113" t="s">
        <v>265</v>
      </c>
      <c r="C34" s="48">
        <v>9000000</v>
      </c>
    </row>
    <row r="35" spans="1:6" s="42" customFormat="1" ht="12" customHeight="1">
      <c r="A35" s="46" t="s">
        <v>261</v>
      </c>
      <c r="B35" s="113" t="s">
        <v>575</v>
      </c>
      <c r="C35" s="48">
        <v>27500000</v>
      </c>
    </row>
    <row r="36" spans="1:6" s="42" customFormat="1" ht="12" customHeight="1" thickBot="1">
      <c r="A36" s="50" t="s">
        <v>262</v>
      </c>
      <c r="B36" s="115" t="s">
        <v>267</v>
      </c>
      <c r="C36" s="53">
        <v>200000</v>
      </c>
    </row>
    <row r="37" spans="1:6" s="42" customFormat="1" ht="12" customHeight="1" thickBot="1">
      <c r="A37" s="39" t="s">
        <v>18</v>
      </c>
      <c r="B37" s="40" t="s">
        <v>428</v>
      </c>
      <c r="C37" s="41">
        <f>SUM(C38:C48)</f>
        <v>12513783</v>
      </c>
    </row>
    <row r="38" spans="1:6" s="42" customFormat="1" ht="12" customHeight="1">
      <c r="A38" s="43" t="s">
        <v>86</v>
      </c>
      <c r="B38" s="44" t="s">
        <v>270</v>
      </c>
      <c r="C38" s="45"/>
    </row>
    <row r="39" spans="1:6" s="42" customFormat="1" ht="12" customHeight="1">
      <c r="A39" s="46" t="s">
        <v>87</v>
      </c>
      <c r="B39" s="47" t="s">
        <v>271</v>
      </c>
      <c r="C39" s="48">
        <f>4214790+3149606</f>
        <v>7364396</v>
      </c>
    </row>
    <row r="40" spans="1:6" s="42" customFormat="1" ht="12" customHeight="1">
      <c r="A40" s="46" t="s">
        <v>88</v>
      </c>
      <c r="B40" s="47" t="s">
        <v>272</v>
      </c>
      <c r="C40" s="48">
        <v>1650000</v>
      </c>
    </row>
    <row r="41" spans="1:6" s="42" customFormat="1" ht="12" customHeight="1">
      <c r="A41" s="46" t="s">
        <v>164</v>
      </c>
      <c r="B41" s="47" t="s">
        <v>273</v>
      </c>
      <c r="C41" s="48"/>
    </row>
    <row r="42" spans="1:6" s="42" customFormat="1" ht="12" customHeight="1">
      <c r="A42" s="46" t="s">
        <v>165</v>
      </c>
      <c r="B42" s="47" t="s">
        <v>274</v>
      </c>
      <c r="C42" s="48">
        <f>1500000</f>
        <v>1500000</v>
      </c>
      <c r="F42" s="644"/>
    </row>
    <row r="43" spans="1:6" s="42" customFormat="1" ht="12" customHeight="1">
      <c r="A43" s="46" t="s">
        <v>166</v>
      </c>
      <c r="B43" s="47" t="s">
        <v>275</v>
      </c>
      <c r="C43" s="48">
        <f>1137993+850394</f>
        <v>1988387</v>
      </c>
    </row>
    <row r="44" spans="1:6" s="42" customFormat="1" ht="12" customHeight="1">
      <c r="A44" s="46" t="s">
        <v>167</v>
      </c>
      <c r="B44" s="47" t="s">
        <v>276</v>
      </c>
      <c r="C44" s="48"/>
    </row>
    <row r="45" spans="1:6" s="42" customFormat="1" ht="12" customHeight="1">
      <c r="A45" s="46" t="s">
        <v>168</v>
      </c>
      <c r="B45" s="47" t="s">
        <v>277</v>
      </c>
      <c r="C45" s="48">
        <f>1000</f>
        <v>1000</v>
      </c>
    </row>
    <row r="46" spans="1:6" s="42" customFormat="1" ht="12" customHeight="1">
      <c r="A46" s="46" t="s">
        <v>268</v>
      </c>
      <c r="B46" s="47" t="s">
        <v>278</v>
      </c>
      <c r="C46" s="58"/>
    </row>
    <row r="47" spans="1:6" s="42" customFormat="1" ht="12" customHeight="1">
      <c r="A47" s="50" t="s">
        <v>269</v>
      </c>
      <c r="B47" s="54" t="s">
        <v>430</v>
      </c>
      <c r="C47" s="59"/>
    </row>
    <row r="48" spans="1:6" s="42" customFormat="1" ht="12" customHeight="1" thickBot="1">
      <c r="A48" s="50" t="s">
        <v>429</v>
      </c>
      <c r="B48" s="51" t="s">
        <v>279</v>
      </c>
      <c r="C48" s="59">
        <f>10000</f>
        <v>10000</v>
      </c>
    </row>
    <row r="49" spans="1:3" s="42" customFormat="1" ht="12" customHeight="1" thickBot="1">
      <c r="A49" s="39" t="s">
        <v>19</v>
      </c>
      <c r="B49" s="40" t="s">
        <v>280</v>
      </c>
      <c r="C49" s="41">
        <f>SUM(C50:C54)</f>
        <v>0</v>
      </c>
    </row>
    <row r="50" spans="1:3" s="42" customFormat="1" ht="12" customHeight="1">
      <c r="A50" s="43" t="s">
        <v>89</v>
      </c>
      <c r="B50" s="44" t="s">
        <v>284</v>
      </c>
      <c r="C50" s="60"/>
    </row>
    <row r="51" spans="1:3" s="42" customFormat="1" ht="12" customHeight="1">
      <c r="A51" s="46" t="s">
        <v>90</v>
      </c>
      <c r="B51" s="47" t="s">
        <v>285</v>
      </c>
      <c r="C51" s="58"/>
    </row>
    <row r="52" spans="1:3" s="42" customFormat="1" ht="12" customHeight="1">
      <c r="A52" s="46" t="s">
        <v>281</v>
      </c>
      <c r="B52" s="47" t="s">
        <v>286</v>
      </c>
      <c r="C52" s="58"/>
    </row>
    <row r="53" spans="1:3" s="42" customFormat="1" ht="12" customHeight="1">
      <c r="A53" s="46" t="s">
        <v>282</v>
      </c>
      <c r="B53" s="47" t="s">
        <v>287</v>
      </c>
      <c r="C53" s="58"/>
    </row>
    <row r="54" spans="1:3" s="42" customFormat="1" ht="12" customHeight="1" thickBot="1">
      <c r="A54" s="50" t="s">
        <v>283</v>
      </c>
      <c r="B54" s="51" t="s">
        <v>288</v>
      </c>
      <c r="C54" s="59"/>
    </row>
    <row r="55" spans="1:3" s="42" customFormat="1" ht="12" customHeight="1" thickBot="1">
      <c r="A55" s="39" t="s">
        <v>169</v>
      </c>
      <c r="B55" s="40" t="s">
        <v>289</v>
      </c>
      <c r="C55" s="41">
        <f>SUM(C56:C58)</f>
        <v>505503</v>
      </c>
    </row>
    <row r="56" spans="1:3" s="42" customFormat="1" ht="12" customHeight="1">
      <c r="A56" s="43" t="s">
        <v>91</v>
      </c>
      <c r="B56" s="44" t="s">
        <v>290</v>
      </c>
      <c r="C56" s="45"/>
    </row>
    <row r="57" spans="1:3" s="42" customFormat="1" ht="12" customHeight="1">
      <c r="A57" s="46" t="s">
        <v>92</v>
      </c>
      <c r="B57" s="47" t="s">
        <v>420</v>
      </c>
      <c r="C57" s="48"/>
    </row>
    <row r="58" spans="1:3" s="42" customFormat="1" ht="12" customHeight="1">
      <c r="A58" s="46" t="s">
        <v>293</v>
      </c>
      <c r="B58" s="47" t="s">
        <v>291</v>
      </c>
      <c r="C58" s="48">
        <v>505503</v>
      </c>
    </row>
    <row r="59" spans="1:3" s="42" customFormat="1" ht="12" customHeight="1" thickBot="1">
      <c r="A59" s="50" t="s">
        <v>294</v>
      </c>
      <c r="B59" s="51" t="s">
        <v>292</v>
      </c>
      <c r="C59" s="53"/>
    </row>
    <row r="60" spans="1:3" s="42" customFormat="1" ht="12" customHeight="1" thickBot="1">
      <c r="A60" s="39" t="s">
        <v>21</v>
      </c>
      <c r="B60" s="52" t="s">
        <v>295</v>
      </c>
      <c r="C60" s="41">
        <f>SUM(C61:C63)</f>
        <v>0</v>
      </c>
    </row>
    <row r="61" spans="1:3" s="42" customFormat="1" ht="12" customHeight="1">
      <c r="A61" s="43" t="s">
        <v>170</v>
      </c>
      <c r="B61" s="44" t="s">
        <v>297</v>
      </c>
      <c r="C61" s="58"/>
    </row>
    <row r="62" spans="1:3" s="42" customFormat="1" ht="12" customHeight="1">
      <c r="A62" s="46" t="s">
        <v>171</v>
      </c>
      <c r="B62" s="47" t="s">
        <v>421</v>
      </c>
      <c r="C62" s="58"/>
    </row>
    <row r="63" spans="1:3" s="42" customFormat="1" ht="12" customHeight="1">
      <c r="A63" s="46" t="s">
        <v>218</v>
      </c>
      <c r="B63" s="47" t="s">
        <v>298</v>
      </c>
      <c r="C63" s="58"/>
    </row>
    <row r="64" spans="1:3" s="42" customFormat="1" ht="12" customHeight="1" thickBot="1">
      <c r="A64" s="50" t="s">
        <v>296</v>
      </c>
      <c r="B64" s="51" t="s">
        <v>299</v>
      </c>
      <c r="C64" s="58"/>
    </row>
    <row r="65" spans="1:3" s="42" customFormat="1" ht="12" customHeight="1" thickBot="1">
      <c r="A65" s="61" t="s">
        <v>472</v>
      </c>
      <c r="B65" s="40" t="s">
        <v>300</v>
      </c>
      <c r="C65" s="55">
        <f>+C8+C15+C22+C29+C37+C49+C55+C60</f>
        <v>488596654</v>
      </c>
    </row>
    <row r="66" spans="1:3" s="42" customFormat="1" ht="12" customHeight="1" thickBot="1">
      <c r="A66" s="62" t="s">
        <v>301</v>
      </c>
      <c r="B66" s="52" t="s">
        <v>302</v>
      </c>
      <c r="C66" s="41">
        <f>SUM(C67:C69)</f>
        <v>0</v>
      </c>
    </row>
    <row r="67" spans="1:3" s="42" customFormat="1" ht="12" customHeight="1">
      <c r="A67" s="43" t="s">
        <v>333</v>
      </c>
      <c r="B67" s="44" t="s">
        <v>303</v>
      </c>
      <c r="C67" s="58"/>
    </row>
    <row r="68" spans="1:3" s="42" customFormat="1" ht="12" customHeight="1">
      <c r="A68" s="46" t="s">
        <v>342</v>
      </c>
      <c r="B68" s="47" t="s">
        <v>304</v>
      </c>
      <c r="C68" s="58"/>
    </row>
    <row r="69" spans="1:3" s="42" customFormat="1" ht="12" customHeight="1" thickBot="1">
      <c r="A69" s="50" t="s">
        <v>343</v>
      </c>
      <c r="B69" s="63" t="s">
        <v>457</v>
      </c>
      <c r="C69" s="58"/>
    </row>
    <row r="70" spans="1:3" s="42" customFormat="1" ht="12" customHeight="1" thickBot="1">
      <c r="A70" s="62" t="s">
        <v>306</v>
      </c>
      <c r="B70" s="52" t="s">
        <v>307</v>
      </c>
      <c r="C70" s="41">
        <f>SUM(C71:C74)</f>
        <v>0</v>
      </c>
    </row>
    <row r="71" spans="1:3" s="42" customFormat="1" ht="12" customHeight="1">
      <c r="A71" s="43" t="s">
        <v>140</v>
      </c>
      <c r="B71" s="44" t="s">
        <v>308</v>
      </c>
      <c r="C71" s="58"/>
    </row>
    <row r="72" spans="1:3" s="42" customFormat="1" ht="12" customHeight="1">
      <c r="A72" s="46" t="s">
        <v>141</v>
      </c>
      <c r="B72" s="47" t="s">
        <v>309</v>
      </c>
      <c r="C72" s="58"/>
    </row>
    <row r="73" spans="1:3" s="42" customFormat="1" ht="12" customHeight="1">
      <c r="A73" s="46" t="s">
        <v>334</v>
      </c>
      <c r="B73" s="47" t="s">
        <v>310</v>
      </c>
      <c r="C73" s="58"/>
    </row>
    <row r="74" spans="1:3" s="42" customFormat="1" ht="12" customHeight="1" thickBot="1">
      <c r="A74" s="50" t="s">
        <v>335</v>
      </c>
      <c r="B74" s="51" t="s">
        <v>311</v>
      </c>
      <c r="C74" s="58"/>
    </row>
    <row r="75" spans="1:3" s="42" customFormat="1" ht="12" customHeight="1" thickBot="1">
      <c r="A75" s="62" t="s">
        <v>312</v>
      </c>
      <c r="B75" s="52" t="s">
        <v>313</v>
      </c>
      <c r="C75" s="41">
        <f>SUM(C76:C77)</f>
        <v>541000000</v>
      </c>
    </row>
    <row r="76" spans="1:3" s="42" customFormat="1" ht="12" customHeight="1">
      <c r="A76" s="43" t="s">
        <v>336</v>
      </c>
      <c r="B76" s="44" t="s">
        <v>314</v>
      </c>
      <c r="C76" s="58">
        <v>541000000</v>
      </c>
    </row>
    <row r="77" spans="1:3" s="42" customFormat="1" ht="12" customHeight="1" thickBot="1">
      <c r="A77" s="50" t="s">
        <v>337</v>
      </c>
      <c r="B77" s="51" t="s">
        <v>315</v>
      </c>
      <c r="C77" s="58"/>
    </row>
    <row r="78" spans="1:3" s="42" customFormat="1" ht="12" customHeight="1" thickBot="1">
      <c r="A78" s="62" t="s">
        <v>316</v>
      </c>
      <c r="B78" s="52" t="s">
        <v>317</v>
      </c>
      <c r="C78" s="41">
        <f>SUM(C79:C81)</f>
        <v>0</v>
      </c>
    </row>
    <row r="79" spans="1:3" s="42" customFormat="1" ht="12" customHeight="1">
      <c r="A79" s="43" t="s">
        <v>338</v>
      </c>
      <c r="B79" s="44" t="s">
        <v>318</v>
      </c>
      <c r="C79" s="58"/>
    </row>
    <row r="80" spans="1:3" s="42" customFormat="1" ht="12" customHeight="1">
      <c r="A80" s="46" t="s">
        <v>339</v>
      </c>
      <c r="B80" s="47" t="s">
        <v>319</v>
      </c>
      <c r="C80" s="58"/>
    </row>
    <row r="81" spans="1:3" s="42" customFormat="1" ht="12" customHeight="1" thickBot="1">
      <c r="A81" s="50" t="s">
        <v>340</v>
      </c>
      <c r="B81" s="51" t="s">
        <v>320</v>
      </c>
      <c r="C81" s="58"/>
    </row>
    <row r="82" spans="1:3" s="42" customFormat="1" ht="12" customHeight="1" thickBot="1">
      <c r="A82" s="62" t="s">
        <v>321</v>
      </c>
      <c r="B82" s="52" t="s">
        <v>341</v>
      </c>
      <c r="C82" s="41">
        <f>SUM(C83:C86)</f>
        <v>0</v>
      </c>
    </row>
    <row r="83" spans="1:3" s="42" customFormat="1" ht="12" customHeight="1">
      <c r="A83" s="64" t="s">
        <v>322</v>
      </c>
      <c r="B83" s="44" t="s">
        <v>323</v>
      </c>
      <c r="C83" s="58"/>
    </row>
    <row r="84" spans="1:3" s="42" customFormat="1" ht="12" customHeight="1">
      <c r="A84" s="65" t="s">
        <v>324</v>
      </c>
      <c r="B84" s="47" t="s">
        <v>325</v>
      </c>
      <c r="C84" s="58"/>
    </row>
    <row r="85" spans="1:3" s="42" customFormat="1" ht="12" customHeight="1">
      <c r="A85" s="65" t="s">
        <v>326</v>
      </c>
      <c r="B85" s="47" t="s">
        <v>327</v>
      </c>
      <c r="C85" s="58"/>
    </row>
    <row r="86" spans="1:3" s="42" customFormat="1" ht="12" customHeight="1" thickBot="1">
      <c r="A86" s="66" t="s">
        <v>328</v>
      </c>
      <c r="B86" s="51" t="s">
        <v>329</v>
      </c>
      <c r="C86" s="58"/>
    </row>
    <row r="87" spans="1:3" s="42" customFormat="1" ht="12" customHeight="1" thickBot="1">
      <c r="A87" s="62" t="s">
        <v>330</v>
      </c>
      <c r="B87" s="52" t="s">
        <v>471</v>
      </c>
      <c r="C87" s="67"/>
    </row>
    <row r="88" spans="1:3" s="42" customFormat="1" ht="13.5" customHeight="1" thickBot="1">
      <c r="A88" s="62" t="s">
        <v>332</v>
      </c>
      <c r="B88" s="52" t="s">
        <v>331</v>
      </c>
      <c r="C88" s="67"/>
    </row>
    <row r="89" spans="1:3" s="42" customFormat="1" ht="15.75" customHeight="1" thickBot="1">
      <c r="A89" s="62" t="s">
        <v>344</v>
      </c>
      <c r="B89" s="68" t="s">
        <v>474</v>
      </c>
      <c r="C89" s="55">
        <f>+C66+C70+C75+C78+C82+C88+C87</f>
        <v>541000000</v>
      </c>
    </row>
    <row r="90" spans="1:3" s="42" customFormat="1" ht="16.5" customHeight="1" thickBot="1">
      <c r="A90" s="69" t="s">
        <v>473</v>
      </c>
      <c r="B90" s="70" t="s">
        <v>475</v>
      </c>
      <c r="C90" s="55">
        <f>+C65+C89</f>
        <v>1029596654</v>
      </c>
    </row>
    <row r="91" spans="1:3" s="42" customFormat="1" ht="83.25" customHeight="1">
      <c r="A91" s="71"/>
      <c r="B91" s="72"/>
      <c r="C91" s="647"/>
    </row>
    <row r="92" spans="1:3" s="33" customFormat="1" ht="16.5" customHeight="1">
      <c r="A92" s="778" t="s">
        <v>42</v>
      </c>
      <c r="B92" s="778"/>
    </row>
    <row r="93" spans="1:3" s="73" customFormat="1" ht="16.5" customHeight="1" thickBot="1">
      <c r="A93" s="780" t="s">
        <v>143</v>
      </c>
      <c r="B93" s="780"/>
      <c r="C93" s="642"/>
    </row>
    <row r="94" spans="1:3" s="33" customFormat="1" ht="38.1" customHeight="1" thickBot="1">
      <c r="A94" s="34" t="s">
        <v>64</v>
      </c>
      <c r="B94" s="35" t="s">
        <v>43</v>
      </c>
      <c r="C94" s="563" t="s">
        <v>692</v>
      </c>
    </row>
    <row r="95" spans="1:3" s="38" customFormat="1" ht="12" customHeight="1" thickBot="1">
      <c r="A95" s="74" t="s">
        <v>483</v>
      </c>
      <c r="B95" s="75" t="s">
        <v>484</v>
      </c>
      <c r="C95" s="648" t="s">
        <v>485</v>
      </c>
    </row>
    <row r="96" spans="1:3" s="33" customFormat="1" ht="12" customHeight="1" thickBot="1">
      <c r="A96" s="76" t="s">
        <v>14</v>
      </c>
      <c r="B96" s="77" t="s">
        <v>625</v>
      </c>
      <c r="C96" s="78">
        <f>C97+C98+C99+C100+C101+C114</f>
        <v>475315485</v>
      </c>
    </row>
    <row r="97" spans="1:3" s="33" customFormat="1" ht="12" customHeight="1">
      <c r="A97" s="79" t="s">
        <v>93</v>
      </c>
      <c r="B97" s="15" t="s">
        <v>44</v>
      </c>
      <c r="C97" s="80">
        <f>81039317-'9.1.2. sz. mell '!C97</f>
        <v>67284917</v>
      </c>
    </row>
    <row r="98" spans="1:3" s="33" customFormat="1" ht="12" customHeight="1">
      <c r="A98" s="46" t="s">
        <v>94</v>
      </c>
      <c r="B98" s="16" t="s">
        <v>172</v>
      </c>
      <c r="C98" s="48">
        <f>17133121-'9.1.2. sz. mell '!C98</f>
        <v>14301577</v>
      </c>
    </row>
    <row r="99" spans="1:3" s="33" customFormat="1" ht="12" customHeight="1">
      <c r="A99" s="46" t="s">
        <v>95</v>
      </c>
      <c r="B99" s="16" t="s">
        <v>131</v>
      </c>
      <c r="C99" s="53">
        <v>179717408</v>
      </c>
    </row>
    <row r="100" spans="1:3" s="33" customFormat="1" ht="12" customHeight="1">
      <c r="A100" s="46" t="s">
        <v>96</v>
      </c>
      <c r="B100" s="81" t="s">
        <v>173</v>
      </c>
      <c r="C100" s="53">
        <f>7330000</f>
        <v>7330000</v>
      </c>
    </row>
    <row r="101" spans="1:3" s="33" customFormat="1" ht="12" customHeight="1">
      <c r="A101" s="46" t="s">
        <v>107</v>
      </c>
      <c r="B101" s="82" t="s">
        <v>174</v>
      </c>
      <c r="C101" s="53">
        <f>C102+C103+C104+C105+C106+C107+C108+C109+C110+C111+C112+C113</f>
        <v>173511355</v>
      </c>
    </row>
    <row r="102" spans="1:3" s="33" customFormat="1" ht="12" customHeight="1">
      <c r="A102" s="46" t="s">
        <v>97</v>
      </c>
      <c r="B102" s="16" t="s">
        <v>438</v>
      </c>
      <c r="C102" s="53"/>
    </row>
    <row r="103" spans="1:3" s="33" customFormat="1" ht="12" customHeight="1">
      <c r="A103" s="46" t="s">
        <v>98</v>
      </c>
      <c r="B103" s="83" t="s">
        <v>437</v>
      </c>
      <c r="C103" s="53"/>
    </row>
    <row r="104" spans="1:3" s="33" customFormat="1" ht="12" customHeight="1">
      <c r="A104" s="46" t="s">
        <v>108</v>
      </c>
      <c r="B104" s="83" t="s">
        <v>436</v>
      </c>
      <c r="C104" s="53">
        <v>1505503</v>
      </c>
    </row>
    <row r="105" spans="1:3" s="33" customFormat="1" ht="12" customHeight="1">
      <c r="A105" s="46" t="s">
        <v>109</v>
      </c>
      <c r="B105" s="84" t="s">
        <v>347</v>
      </c>
      <c r="C105" s="53"/>
    </row>
    <row r="106" spans="1:3" s="33" customFormat="1" ht="12" customHeight="1">
      <c r="A106" s="46" t="s">
        <v>110</v>
      </c>
      <c r="B106" s="85" t="s">
        <v>348</v>
      </c>
      <c r="C106" s="53"/>
    </row>
    <row r="107" spans="1:3" s="33" customFormat="1" ht="12" customHeight="1">
      <c r="A107" s="46" t="s">
        <v>111</v>
      </c>
      <c r="B107" s="85" t="s">
        <v>349</v>
      </c>
      <c r="C107" s="53"/>
    </row>
    <row r="108" spans="1:3" s="33" customFormat="1" ht="12" customHeight="1">
      <c r="A108" s="46" t="s">
        <v>113</v>
      </c>
      <c r="B108" s="84" t="s">
        <v>350</v>
      </c>
      <c r="C108" s="53">
        <v>129940852</v>
      </c>
    </row>
    <row r="109" spans="1:3" s="33" customFormat="1" ht="12" customHeight="1">
      <c r="A109" s="46" t="s">
        <v>175</v>
      </c>
      <c r="B109" s="84" t="s">
        <v>351</v>
      </c>
      <c r="C109" s="53"/>
    </row>
    <row r="110" spans="1:3" s="33" customFormat="1" ht="12" customHeight="1">
      <c r="A110" s="46" t="s">
        <v>345</v>
      </c>
      <c r="B110" s="85" t="s">
        <v>352</v>
      </c>
      <c r="C110" s="53"/>
    </row>
    <row r="111" spans="1:3" s="33" customFormat="1" ht="12" customHeight="1">
      <c r="A111" s="86" t="s">
        <v>346</v>
      </c>
      <c r="B111" s="83" t="s">
        <v>353</v>
      </c>
      <c r="C111" s="53"/>
    </row>
    <row r="112" spans="1:3" s="33" customFormat="1" ht="12" customHeight="1">
      <c r="A112" s="46" t="s">
        <v>434</v>
      </c>
      <c r="B112" s="83" t="s">
        <v>354</v>
      </c>
      <c r="C112" s="53"/>
    </row>
    <row r="113" spans="1:3" s="33" customFormat="1" ht="12" customHeight="1">
      <c r="A113" s="50" t="s">
        <v>435</v>
      </c>
      <c r="B113" s="83" t="s">
        <v>355</v>
      </c>
      <c r="C113" s="53">
        <f>42065000</f>
        <v>42065000</v>
      </c>
    </row>
    <row r="114" spans="1:3" s="33" customFormat="1" ht="12" customHeight="1">
      <c r="A114" s="46" t="s">
        <v>439</v>
      </c>
      <c r="B114" s="81" t="s">
        <v>45</v>
      </c>
      <c r="C114" s="48">
        <f>C115+C117</f>
        <v>33170228</v>
      </c>
    </row>
    <row r="115" spans="1:3" s="33" customFormat="1" ht="12" customHeight="1">
      <c r="A115" s="46" t="s">
        <v>440</v>
      </c>
      <c r="B115" s="16" t="s">
        <v>442</v>
      </c>
      <c r="C115" s="48">
        <v>4078482</v>
      </c>
    </row>
    <row r="116" spans="1:3" s="33" customFormat="1" ht="12" customHeight="1">
      <c r="A116" s="50"/>
      <c r="B116" s="16" t="s">
        <v>665</v>
      </c>
      <c r="C116" s="53"/>
    </row>
    <row r="117" spans="1:3" s="33" customFormat="1" ht="12" customHeight="1" thickBot="1">
      <c r="A117" s="87" t="s">
        <v>441</v>
      </c>
      <c r="B117" s="88" t="s">
        <v>443</v>
      </c>
      <c r="C117" s="89">
        <f>29091746</f>
        <v>29091746</v>
      </c>
    </row>
    <row r="118" spans="1:3" s="33" customFormat="1" ht="12" customHeight="1" thickBot="1">
      <c r="A118" s="90" t="s">
        <v>15</v>
      </c>
      <c r="B118" s="91" t="s">
        <v>626</v>
      </c>
      <c r="C118" s="649">
        <f>+C119+C121+C123</f>
        <v>369912761</v>
      </c>
    </row>
    <row r="119" spans="1:3" s="33" customFormat="1" ht="12" customHeight="1">
      <c r="A119" s="43" t="s">
        <v>99</v>
      </c>
      <c r="B119" s="16" t="s">
        <v>217</v>
      </c>
      <c r="C119" s="45">
        <f>304198564-'9.1.2. sz. mell '!C118</f>
        <v>286101064</v>
      </c>
    </row>
    <row r="120" spans="1:3" s="33" customFormat="1" ht="12" customHeight="1">
      <c r="A120" s="43" t="s">
        <v>100</v>
      </c>
      <c r="B120" s="92" t="s">
        <v>359</v>
      </c>
      <c r="C120" s="45"/>
    </row>
    <row r="121" spans="1:3" s="33" customFormat="1" ht="12" customHeight="1">
      <c r="A121" s="43" t="s">
        <v>101</v>
      </c>
      <c r="B121" s="92" t="s">
        <v>176</v>
      </c>
      <c r="C121" s="48">
        <f>89587897-'9.1.2. sz. mell '!C120</f>
        <v>83161697</v>
      </c>
    </row>
    <row r="122" spans="1:3" s="33" customFormat="1" ht="12" customHeight="1">
      <c r="A122" s="43" t="s">
        <v>102</v>
      </c>
      <c r="B122" s="92" t="s">
        <v>360</v>
      </c>
      <c r="C122" s="93"/>
    </row>
    <row r="123" spans="1:3" s="33" customFormat="1" ht="12" customHeight="1">
      <c r="A123" s="43" t="s">
        <v>103</v>
      </c>
      <c r="B123" s="51" t="s">
        <v>219</v>
      </c>
      <c r="C123" s="93">
        <f>C124+C125+C126+C127+C128+C129+C130+C131</f>
        <v>650000</v>
      </c>
    </row>
    <row r="124" spans="1:3" s="33" customFormat="1" ht="12" customHeight="1">
      <c r="A124" s="43" t="s">
        <v>112</v>
      </c>
      <c r="B124" s="49" t="s">
        <v>422</v>
      </c>
      <c r="C124" s="93"/>
    </row>
    <row r="125" spans="1:3" s="33" customFormat="1" ht="12" customHeight="1">
      <c r="A125" s="43" t="s">
        <v>114</v>
      </c>
      <c r="B125" s="94" t="s">
        <v>365</v>
      </c>
      <c r="C125" s="93"/>
    </row>
    <row r="126" spans="1:3" s="33" customFormat="1" ht="15.75">
      <c r="A126" s="43" t="s">
        <v>177</v>
      </c>
      <c r="B126" s="85" t="s">
        <v>349</v>
      </c>
      <c r="C126" s="93"/>
    </row>
    <row r="127" spans="1:3" s="33" customFormat="1" ht="12" customHeight="1">
      <c r="A127" s="43" t="s">
        <v>178</v>
      </c>
      <c r="B127" s="85" t="s">
        <v>364</v>
      </c>
      <c r="C127" s="93"/>
    </row>
    <row r="128" spans="1:3" s="33" customFormat="1" ht="12" customHeight="1">
      <c r="A128" s="43" t="s">
        <v>179</v>
      </c>
      <c r="B128" s="85" t="s">
        <v>363</v>
      </c>
      <c r="C128" s="93"/>
    </row>
    <row r="129" spans="1:3" s="33" customFormat="1" ht="12" customHeight="1">
      <c r="A129" s="43" t="s">
        <v>356</v>
      </c>
      <c r="B129" s="85" t="s">
        <v>352</v>
      </c>
      <c r="C129" s="93"/>
    </row>
    <row r="130" spans="1:3" s="33" customFormat="1" ht="12" customHeight="1">
      <c r="A130" s="43" t="s">
        <v>357</v>
      </c>
      <c r="B130" s="85" t="s">
        <v>362</v>
      </c>
      <c r="C130" s="93"/>
    </row>
    <row r="131" spans="1:3" s="33" customFormat="1" ht="16.5" thickBot="1">
      <c r="A131" s="86" t="s">
        <v>358</v>
      </c>
      <c r="B131" s="85" t="s">
        <v>361</v>
      </c>
      <c r="C131" s="95">
        <v>650000</v>
      </c>
    </row>
    <row r="132" spans="1:3" s="33" customFormat="1" ht="12" customHeight="1" thickBot="1">
      <c r="A132" s="39" t="s">
        <v>16</v>
      </c>
      <c r="B132" s="19" t="s">
        <v>444</v>
      </c>
      <c r="C132" s="41">
        <f>+C96+C118</f>
        <v>845228246</v>
      </c>
    </row>
    <row r="133" spans="1:3" s="33" customFormat="1" ht="12" customHeight="1" thickBot="1">
      <c r="A133" s="39" t="s">
        <v>17</v>
      </c>
      <c r="B133" s="19" t="s">
        <v>445</v>
      </c>
      <c r="C133" s="41">
        <f>+C134+C135+C136</f>
        <v>0</v>
      </c>
    </row>
    <row r="134" spans="1:3" s="33" customFormat="1" ht="12" customHeight="1">
      <c r="A134" s="43" t="s">
        <v>257</v>
      </c>
      <c r="B134" s="92" t="s">
        <v>452</v>
      </c>
      <c r="C134" s="93"/>
    </row>
    <row r="135" spans="1:3" s="33" customFormat="1" ht="12" customHeight="1">
      <c r="A135" s="43" t="s">
        <v>260</v>
      </c>
      <c r="B135" s="92" t="s">
        <v>453</v>
      </c>
      <c r="C135" s="93"/>
    </row>
    <row r="136" spans="1:3" s="33" customFormat="1" ht="12" customHeight="1" thickBot="1">
      <c r="A136" s="86" t="s">
        <v>261</v>
      </c>
      <c r="B136" s="92" t="s">
        <v>454</v>
      </c>
      <c r="C136" s="93"/>
    </row>
    <row r="137" spans="1:3" s="33" customFormat="1" ht="12" customHeight="1" thickBot="1">
      <c r="A137" s="39" t="s">
        <v>18</v>
      </c>
      <c r="B137" s="19" t="s">
        <v>446</v>
      </c>
      <c r="C137" s="41">
        <f>SUM(C138:C143)</f>
        <v>0</v>
      </c>
    </row>
    <row r="138" spans="1:3" s="33" customFormat="1" ht="12" customHeight="1">
      <c r="A138" s="43" t="s">
        <v>86</v>
      </c>
      <c r="B138" s="18" t="s">
        <v>455</v>
      </c>
      <c r="C138" s="93"/>
    </row>
    <row r="139" spans="1:3" s="33" customFormat="1" ht="12" customHeight="1">
      <c r="A139" s="43" t="s">
        <v>87</v>
      </c>
      <c r="B139" s="18" t="s">
        <v>447</v>
      </c>
      <c r="C139" s="93"/>
    </row>
    <row r="140" spans="1:3" s="33" customFormat="1" ht="12" customHeight="1">
      <c r="A140" s="43" t="s">
        <v>88</v>
      </c>
      <c r="B140" s="18" t="s">
        <v>448</v>
      </c>
      <c r="C140" s="93"/>
    </row>
    <row r="141" spans="1:3" s="33" customFormat="1" ht="12" customHeight="1">
      <c r="A141" s="43" t="s">
        <v>164</v>
      </c>
      <c r="B141" s="18" t="s">
        <v>449</v>
      </c>
      <c r="C141" s="93"/>
    </row>
    <row r="142" spans="1:3" s="33" customFormat="1" ht="12" customHeight="1">
      <c r="A142" s="43" t="s">
        <v>165</v>
      </c>
      <c r="B142" s="18" t="s">
        <v>450</v>
      </c>
      <c r="C142" s="93"/>
    </row>
    <row r="143" spans="1:3" s="33" customFormat="1" ht="12" customHeight="1" thickBot="1">
      <c r="A143" s="86" t="s">
        <v>166</v>
      </c>
      <c r="B143" s="18" t="s">
        <v>451</v>
      </c>
      <c r="C143" s="93"/>
    </row>
    <row r="144" spans="1:3" s="33" customFormat="1" ht="12" customHeight="1" thickBot="1">
      <c r="A144" s="39" t="s">
        <v>19</v>
      </c>
      <c r="B144" s="19" t="s">
        <v>459</v>
      </c>
      <c r="C144" s="55">
        <f>+C145+C146+C147+C148</f>
        <v>8107720</v>
      </c>
    </row>
    <row r="145" spans="1:3" s="33" customFormat="1" ht="12" customHeight="1">
      <c r="A145" s="43" t="s">
        <v>89</v>
      </c>
      <c r="B145" s="18" t="s">
        <v>366</v>
      </c>
      <c r="C145" s="93"/>
    </row>
    <row r="146" spans="1:3" s="33" customFormat="1" ht="12" customHeight="1">
      <c r="A146" s="43" t="s">
        <v>90</v>
      </c>
      <c r="B146" s="18" t="s">
        <v>367</v>
      </c>
      <c r="C146" s="93">
        <f>8107720</f>
        <v>8107720</v>
      </c>
    </row>
    <row r="147" spans="1:3" s="33" customFormat="1" ht="12" customHeight="1">
      <c r="A147" s="43" t="s">
        <v>281</v>
      </c>
      <c r="B147" s="18" t="s">
        <v>460</v>
      </c>
      <c r="C147" s="93"/>
    </row>
    <row r="148" spans="1:3" s="33" customFormat="1" ht="12" customHeight="1" thickBot="1">
      <c r="A148" s="86" t="s">
        <v>282</v>
      </c>
      <c r="B148" s="17" t="s">
        <v>386</v>
      </c>
      <c r="C148" s="93"/>
    </row>
    <row r="149" spans="1:3" s="33" customFormat="1" ht="12" customHeight="1" thickBot="1">
      <c r="A149" s="39" t="s">
        <v>20</v>
      </c>
      <c r="B149" s="19" t="s">
        <v>461</v>
      </c>
      <c r="C149" s="96">
        <f>SUM(C150:C154)</f>
        <v>0</v>
      </c>
    </row>
    <row r="150" spans="1:3" s="33" customFormat="1" ht="12" customHeight="1">
      <c r="A150" s="43" t="s">
        <v>91</v>
      </c>
      <c r="B150" s="18" t="s">
        <v>456</v>
      </c>
      <c r="C150" s="93"/>
    </row>
    <row r="151" spans="1:3" s="33" customFormat="1" ht="12" customHeight="1">
      <c r="A151" s="43" t="s">
        <v>92</v>
      </c>
      <c r="B151" s="18" t="s">
        <v>463</v>
      </c>
      <c r="C151" s="93"/>
    </row>
    <row r="152" spans="1:3" s="33" customFormat="1" ht="12" customHeight="1">
      <c r="A152" s="43" t="s">
        <v>293</v>
      </c>
      <c r="B152" s="18" t="s">
        <v>458</v>
      </c>
      <c r="C152" s="93"/>
    </row>
    <row r="153" spans="1:3" s="33" customFormat="1" ht="12" customHeight="1">
      <c r="A153" s="43" t="s">
        <v>294</v>
      </c>
      <c r="B153" s="18" t="s">
        <v>464</v>
      </c>
      <c r="C153" s="93"/>
    </row>
    <row r="154" spans="1:3" s="33" customFormat="1" ht="12" customHeight="1" thickBot="1">
      <c r="A154" s="43" t="s">
        <v>462</v>
      </c>
      <c r="B154" s="18" t="s">
        <v>465</v>
      </c>
      <c r="C154" s="93"/>
    </row>
    <row r="155" spans="1:3" s="33" customFormat="1" ht="12" customHeight="1" thickBot="1">
      <c r="A155" s="39" t="s">
        <v>21</v>
      </c>
      <c r="B155" s="19" t="s">
        <v>466</v>
      </c>
      <c r="C155" s="650"/>
    </row>
    <row r="156" spans="1:3" s="33" customFormat="1" ht="12" customHeight="1" thickBot="1">
      <c r="A156" s="39" t="s">
        <v>22</v>
      </c>
      <c r="B156" s="19" t="s">
        <v>541</v>
      </c>
      <c r="C156" s="650">
        <v>176260688</v>
      </c>
    </row>
    <row r="157" spans="1:3" s="33" customFormat="1" ht="15" customHeight="1" thickBot="1">
      <c r="A157" s="39" t="s">
        <v>23</v>
      </c>
      <c r="B157" s="19" t="s">
        <v>469</v>
      </c>
      <c r="C157" s="97">
        <f>+C133+C137+C144+C149+C155+C156</f>
        <v>184368408</v>
      </c>
    </row>
    <row r="158" spans="1:3" s="42" customFormat="1" ht="12.95" customHeight="1" thickBot="1">
      <c r="A158" s="99" t="s">
        <v>24</v>
      </c>
      <c r="B158" s="100" t="s">
        <v>468</v>
      </c>
      <c r="C158" s="97">
        <f>+C132+C157</f>
        <v>1029596654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orientation="portrait" verticalDpi="300" r:id="rId1"/>
  <headerFooter alignWithMargins="0">
    <oddFooter>&amp;P. oldal, összesen: &amp;N</oddFooter>
  </headerFooter>
  <rowBreaks count="4" manualBreakCount="4">
    <brk id="37" max="16383" man="1"/>
    <brk id="65" max="16383" man="1"/>
    <brk id="90" max="16383" man="1"/>
    <brk id="1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tabColor rgb="FF7030A0"/>
  </sheetPr>
  <dimension ref="A1:G157"/>
  <sheetViews>
    <sheetView zoomScale="98" zoomScaleNormal="98" zoomScaleSheetLayoutView="85" workbookViewId="0">
      <selection activeCell="B1" sqref="B1"/>
    </sheetView>
  </sheetViews>
  <sheetFormatPr defaultRowHeight="12.75"/>
  <cols>
    <col min="1" max="1" width="11.6640625" style="28" customWidth="1"/>
    <col min="2" max="2" width="74.5" style="9" bestFit="1" customWidth="1"/>
    <col min="3" max="3" width="19" style="29" bestFit="1" customWidth="1"/>
    <col min="4" max="4" width="9.33203125" style="109"/>
    <col min="5" max="5" width="10.33203125" style="109" bestFit="1" customWidth="1"/>
    <col min="6" max="16384" width="9.33203125" style="109"/>
  </cols>
  <sheetData>
    <row r="1" spans="1:3" s="616" customFormat="1" ht="13.5" thickBot="1">
      <c r="A1" s="614"/>
      <c r="B1" s="615" t="s">
        <v>720</v>
      </c>
      <c r="C1" s="615"/>
    </row>
    <row r="2" spans="1:3" s="108" customFormat="1" ht="25.5">
      <c r="A2" s="617" t="s">
        <v>56</v>
      </c>
      <c r="B2" s="618" t="s">
        <v>535</v>
      </c>
      <c r="C2" s="632" t="s">
        <v>49</v>
      </c>
    </row>
    <row r="3" spans="1:3" s="108" customFormat="1" ht="13.5" thickBot="1">
      <c r="A3" s="619" t="s">
        <v>191</v>
      </c>
      <c r="B3" s="620" t="s">
        <v>424</v>
      </c>
      <c r="C3" s="633" t="s">
        <v>55</v>
      </c>
    </row>
    <row r="4" spans="1:3" s="108" customFormat="1" ht="14.25" thickBot="1">
      <c r="A4" s="621"/>
      <c r="B4" s="621"/>
      <c r="C4" s="6" t="s">
        <v>581</v>
      </c>
    </row>
    <row r="5" spans="1:3" ht="13.5" thickBot="1">
      <c r="A5" s="622" t="s">
        <v>193</v>
      </c>
      <c r="B5" s="623" t="s">
        <v>50</v>
      </c>
      <c r="C5" s="634"/>
    </row>
    <row r="6" spans="1:3" s="624" customFormat="1" ht="26.25" thickBot="1">
      <c r="A6" s="232" t="s">
        <v>64</v>
      </c>
      <c r="B6" s="233" t="s">
        <v>13</v>
      </c>
      <c r="C6" s="563" t="s">
        <v>692</v>
      </c>
    </row>
    <row r="7" spans="1:3" s="42" customFormat="1" ht="13.5" thickBot="1">
      <c r="A7" s="625" t="s">
        <v>483</v>
      </c>
      <c r="B7" s="626" t="s">
        <v>484</v>
      </c>
      <c r="C7" s="635" t="s">
        <v>485</v>
      </c>
    </row>
    <row r="8" spans="1:3" s="42" customFormat="1" ht="13.5" thickBot="1">
      <c r="A8" s="235" t="s">
        <v>14</v>
      </c>
      <c r="B8" s="236" t="s">
        <v>241</v>
      </c>
      <c r="C8" s="582">
        <f>+C9+C10+C11+C12+C13+C14</f>
        <v>0</v>
      </c>
    </row>
    <row r="9" spans="1:3" s="42" customFormat="1">
      <c r="A9" s="237" t="s">
        <v>93</v>
      </c>
      <c r="B9" s="112" t="s">
        <v>242</v>
      </c>
      <c r="C9" s="579"/>
    </row>
    <row r="10" spans="1:3" s="42" customFormat="1">
      <c r="A10" s="238" t="s">
        <v>94</v>
      </c>
      <c r="B10" s="113" t="s">
        <v>243</v>
      </c>
      <c r="C10" s="574"/>
    </row>
    <row r="11" spans="1:3" s="42" customFormat="1">
      <c r="A11" s="238" t="s">
        <v>95</v>
      </c>
      <c r="B11" s="113" t="s">
        <v>244</v>
      </c>
      <c r="C11" s="574"/>
    </row>
    <row r="12" spans="1:3" s="42" customFormat="1">
      <c r="A12" s="238" t="s">
        <v>96</v>
      </c>
      <c r="B12" s="113" t="s">
        <v>245</v>
      </c>
      <c r="C12" s="574"/>
    </row>
    <row r="13" spans="1:3" s="42" customFormat="1">
      <c r="A13" s="238" t="s">
        <v>139</v>
      </c>
      <c r="B13" s="239" t="s">
        <v>426</v>
      </c>
      <c r="C13" s="574"/>
    </row>
    <row r="14" spans="1:3" s="42" customFormat="1" ht="13.5" thickBot="1">
      <c r="A14" s="240" t="s">
        <v>97</v>
      </c>
      <c r="B14" s="241" t="s">
        <v>427</v>
      </c>
      <c r="C14" s="574"/>
    </row>
    <row r="15" spans="1:3" s="42" customFormat="1" ht="13.5" thickBot="1">
      <c r="A15" s="235" t="s">
        <v>15</v>
      </c>
      <c r="B15" s="242" t="s">
        <v>246</v>
      </c>
      <c r="C15" s="582">
        <f>+C16+C17+C18+C19+C20</f>
        <v>0</v>
      </c>
    </row>
    <row r="16" spans="1:3" s="42" customFormat="1">
      <c r="A16" s="237" t="s">
        <v>99</v>
      </c>
      <c r="B16" s="112" t="s">
        <v>247</v>
      </c>
      <c r="C16" s="579"/>
    </row>
    <row r="17" spans="1:3" s="42" customFormat="1">
      <c r="A17" s="238" t="s">
        <v>100</v>
      </c>
      <c r="B17" s="113" t="s">
        <v>248</v>
      </c>
      <c r="C17" s="574"/>
    </row>
    <row r="18" spans="1:3" s="42" customFormat="1">
      <c r="A18" s="238" t="s">
        <v>101</v>
      </c>
      <c r="B18" s="113" t="s">
        <v>416</v>
      </c>
      <c r="C18" s="574"/>
    </row>
    <row r="19" spans="1:3" s="42" customFormat="1">
      <c r="A19" s="238" t="s">
        <v>102</v>
      </c>
      <c r="B19" s="113" t="s">
        <v>417</v>
      </c>
      <c r="C19" s="574"/>
    </row>
    <row r="20" spans="1:3" s="42" customFormat="1">
      <c r="A20" s="238" t="s">
        <v>103</v>
      </c>
      <c r="B20" s="113" t="s">
        <v>249</v>
      </c>
      <c r="C20" s="574"/>
    </row>
    <row r="21" spans="1:3" s="42" customFormat="1" ht="13.5" thickBot="1">
      <c r="A21" s="240" t="s">
        <v>112</v>
      </c>
      <c r="B21" s="241" t="s">
        <v>250</v>
      </c>
      <c r="C21" s="575"/>
    </row>
    <row r="22" spans="1:3" s="42" customFormat="1" ht="13.5" thickBot="1">
      <c r="A22" s="235" t="s">
        <v>16</v>
      </c>
      <c r="B22" s="236" t="s">
        <v>251</v>
      </c>
      <c r="C22" s="582">
        <f>+C23+C24+C25+C26+C27</f>
        <v>0</v>
      </c>
    </row>
    <row r="23" spans="1:3" s="42" customFormat="1">
      <c r="A23" s="237" t="s">
        <v>82</v>
      </c>
      <c r="B23" s="112" t="s">
        <v>252</v>
      </c>
      <c r="C23" s="579"/>
    </row>
    <row r="24" spans="1:3" s="42" customFormat="1">
      <c r="A24" s="238" t="s">
        <v>83</v>
      </c>
      <c r="B24" s="113" t="s">
        <v>253</v>
      </c>
      <c r="C24" s="574"/>
    </row>
    <row r="25" spans="1:3" s="42" customFormat="1">
      <c r="A25" s="238" t="s">
        <v>84</v>
      </c>
      <c r="B25" s="113" t="s">
        <v>418</v>
      </c>
      <c r="C25" s="574"/>
    </row>
    <row r="26" spans="1:3" s="42" customFormat="1">
      <c r="A26" s="238" t="s">
        <v>85</v>
      </c>
      <c r="B26" s="113" t="s">
        <v>419</v>
      </c>
      <c r="C26" s="574"/>
    </row>
    <row r="27" spans="1:3" s="42" customFormat="1">
      <c r="A27" s="238" t="s">
        <v>160</v>
      </c>
      <c r="B27" s="113" t="s">
        <v>254</v>
      </c>
      <c r="C27" s="574"/>
    </row>
    <row r="28" spans="1:3" s="42" customFormat="1" ht="13.5" thickBot="1">
      <c r="A28" s="240" t="s">
        <v>161</v>
      </c>
      <c r="B28" s="115" t="s">
        <v>255</v>
      </c>
      <c r="C28" s="575"/>
    </row>
    <row r="29" spans="1:3" s="42" customFormat="1" ht="13.5" thickBot="1">
      <c r="A29" s="235" t="s">
        <v>162</v>
      </c>
      <c r="B29" s="236" t="s">
        <v>256</v>
      </c>
      <c r="C29" s="583">
        <f>+C30+C34+C35+C36</f>
        <v>0</v>
      </c>
    </row>
    <row r="30" spans="1:3" s="42" customFormat="1">
      <c r="A30" s="237" t="s">
        <v>257</v>
      </c>
      <c r="B30" s="112" t="s">
        <v>433</v>
      </c>
      <c r="C30" s="636">
        <f>C31+C32+C33</f>
        <v>0</v>
      </c>
    </row>
    <row r="31" spans="1:3" s="42" customFormat="1">
      <c r="A31" s="238" t="s">
        <v>258</v>
      </c>
      <c r="B31" s="113" t="s">
        <v>593</v>
      </c>
      <c r="C31" s="574"/>
    </row>
    <row r="32" spans="1:3" s="42" customFormat="1">
      <c r="A32" s="238" t="s">
        <v>259</v>
      </c>
      <c r="B32" s="113" t="s">
        <v>594</v>
      </c>
      <c r="C32" s="574"/>
    </row>
    <row r="33" spans="1:3" s="42" customFormat="1">
      <c r="A33" s="238" t="s">
        <v>431</v>
      </c>
      <c r="B33" s="114" t="s">
        <v>432</v>
      </c>
      <c r="C33" s="574"/>
    </row>
    <row r="34" spans="1:3" s="42" customFormat="1">
      <c r="A34" s="238" t="s">
        <v>260</v>
      </c>
      <c r="B34" s="113" t="s">
        <v>265</v>
      </c>
      <c r="C34" s="574"/>
    </row>
    <row r="35" spans="1:3" s="42" customFormat="1">
      <c r="A35" s="238" t="s">
        <v>261</v>
      </c>
      <c r="B35" s="113" t="s">
        <v>575</v>
      </c>
      <c r="C35" s="574"/>
    </row>
    <row r="36" spans="1:3" s="42" customFormat="1" ht="13.5" thickBot="1">
      <c r="A36" s="240" t="s">
        <v>262</v>
      </c>
      <c r="B36" s="115" t="s">
        <v>267</v>
      </c>
      <c r="C36" s="575"/>
    </row>
    <row r="37" spans="1:3" s="42" customFormat="1" ht="13.5" thickBot="1">
      <c r="A37" s="235" t="s">
        <v>18</v>
      </c>
      <c r="B37" s="236" t="s">
        <v>428</v>
      </c>
      <c r="C37" s="582">
        <f>SUM(C38:C48)</f>
        <v>118146829</v>
      </c>
    </row>
    <row r="38" spans="1:3" s="42" customFormat="1">
      <c r="A38" s="237" t="s">
        <v>86</v>
      </c>
      <c r="B38" s="112" t="s">
        <v>270</v>
      </c>
      <c r="C38" s="579"/>
    </row>
    <row r="39" spans="1:3" s="42" customFormat="1">
      <c r="A39" s="238" t="s">
        <v>87</v>
      </c>
      <c r="B39" s="113" t="s">
        <v>271</v>
      </c>
      <c r="C39" s="574">
        <f>99723710-4214790-3149606</f>
        <v>92359314</v>
      </c>
    </row>
    <row r="40" spans="1:3" s="42" customFormat="1">
      <c r="A40" s="238" t="s">
        <v>88</v>
      </c>
      <c r="B40" s="113" t="s">
        <v>272</v>
      </c>
      <c r="C40" s="574"/>
    </row>
    <row r="41" spans="1:3" s="42" customFormat="1">
      <c r="A41" s="238" t="s">
        <v>164</v>
      </c>
      <c r="B41" s="113" t="s">
        <v>273</v>
      </c>
      <c r="C41" s="574"/>
    </row>
    <row r="42" spans="1:3" s="42" customFormat="1">
      <c r="A42" s="238" t="s">
        <v>165</v>
      </c>
      <c r="B42" s="113" t="s">
        <v>274</v>
      </c>
      <c r="C42" s="574"/>
    </row>
    <row r="43" spans="1:3" s="42" customFormat="1">
      <c r="A43" s="238" t="s">
        <v>166</v>
      </c>
      <c r="B43" s="113" t="s">
        <v>275</v>
      </c>
      <c r="C43" s="574">
        <f>27775902-1137993-850394</f>
        <v>25787515</v>
      </c>
    </row>
    <row r="44" spans="1:3" s="42" customFormat="1">
      <c r="A44" s="238" t="s">
        <v>167</v>
      </c>
      <c r="B44" s="113" t="s">
        <v>276</v>
      </c>
      <c r="C44" s="574"/>
    </row>
    <row r="45" spans="1:3" s="42" customFormat="1">
      <c r="A45" s="238" t="s">
        <v>168</v>
      </c>
      <c r="B45" s="113" t="s">
        <v>277</v>
      </c>
      <c r="C45" s="637"/>
    </row>
    <row r="46" spans="1:3" s="42" customFormat="1">
      <c r="A46" s="238" t="s">
        <v>268</v>
      </c>
      <c r="B46" s="113" t="s">
        <v>278</v>
      </c>
      <c r="C46" s="637"/>
    </row>
    <row r="47" spans="1:3" s="42" customFormat="1">
      <c r="A47" s="240" t="s">
        <v>269</v>
      </c>
      <c r="B47" s="115" t="s">
        <v>430</v>
      </c>
      <c r="C47" s="638"/>
    </row>
    <row r="48" spans="1:3" s="42" customFormat="1" ht="13.5" thickBot="1">
      <c r="A48" s="240" t="s">
        <v>429</v>
      </c>
      <c r="B48" s="241" t="s">
        <v>279</v>
      </c>
      <c r="C48" s="638"/>
    </row>
    <row r="49" spans="1:3" s="42" customFormat="1" ht="13.5" thickBot="1">
      <c r="A49" s="235" t="s">
        <v>19</v>
      </c>
      <c r="B49" s="236" t="s">
        <v>280</v>
      </c>
      <c r="C49" s="582">
        <f>SUM(C50:C54)</f>
        <v>7000000</v>
      </c>
    </row>
    <row r="50" spans="1:3" s="42" customFormat="1">
      <c r="A50" s="237" t="s">
        <v>89</v>
      </c>
      <c r="B50" s="112" t="s">
        <v>284</v>
      </c>
      <c r="C50" s="639"/>
    </row>
    <row r="51" spans="1:3" s="42" customFormat="1">
      <c r="A51" s="238" t="s">
        <v>90</v>
      </c>
      <c r="B51" s="113" t="s">
        <v>285</v>
      </c>
      <c r="C51" s="637">
        <v>7000000</v>
      </c>
    </row>
    <row r="52" spans="1:3" s="42" customFormat="1">
      <c r="A52" s="238" t="s">
        <v>281</v>
      </c>
      <c r="B52" s="113" t="s">
        <v>286</v>
      </c>
      <c r="C52" s="637"/>
    </row>
    <row r="53" spans="1:3" s="42" customFormat="1">
      <c r="A53" s="238" t="s">
        <v>282</v>
      </c>
      <c r="B53" s="113" t="s">
        <v>287</v>
      </c>
      <c r="C53" s="637"/>
    </row>
    <row r="54" spans="1:3" s="42" customFormat="1" ht="13.5" thickBot="1">
      <c r="A54" s="240" t="s">
        <v>283</v>
      </c>
      <c r="B54" s="241" t="s">
        <v>288</v>
      </c>
      <c r="C54" s="638"/>
    </row>
    <row r="55" spans="1:3" s="42" customFormat="1" ht="13.5" thickBot="1">
      <c r="A55" s="235" t="s">
        <v>169</v>
      </c>
      <c r="B55" s="236" t="s">
        <v>289</v>
      </c>
      <c r="C55" s="582">
        <f>SUM(C56:C58)</f>
        <v>0</v>
      </c>
    </row>
    <row r="56" spans="1:3" s="42" customFormat="1">
      <c r="A56" s="237" t="s">
        <v>91</v>
      </c>
      <c r="B56" s="112" t="s">
        <v>290</v>
      </c>
      <c r="C56" s="579"/>
    </row>
    <row r="57" spans="1:3" s="42" customFormat="1" ht="25.5">
      <c r="A57" s="238" t="s">
        <v>92</v>
      </c>
      <c r="B57" s="113" t="s">
        <v>420</v>
      </c>
      <c r="C57" s="574"/>
    </row>
    <row r="58" spans="1:3" s="42" customFormat="1">
      <c r="A58" s="238" t="s">
        <v>293</v>
      </c>
      <c r="B58" s="113" t="s">
        <v>291</v>
      </c>
      <c r="C58" s="574"/>
    </row>
    <row r="59" spans="1:3" s="42" customFormat="1" ht="13.5" thickBot="1">
      <c r="A59" s="240" t="s">
        <v>294</v>
      </c>
      <c r="B59" s="241" t="s">
        <v>292</v>
      </c>
      <c r="C59" s="575"/>
    </row>
    <row r="60" spans="1:3" s="42" customFormat="1" ht="13.5" thickBot="1">
      <c r="A60" s="235" t="s">
        <v>21</v>
      </c>
      <c r="B60" s="242" t="s">
        <v>295</v>
      </c>
      <c r="C60" s="582">
        <f>SUM(C61:C63)</f>
        <v>100000</v>
      </c>
    </row>
    <row r="61" spans="1:3" s="42" customFormat="1">
      <c r="A61" s="237" t="s">
        <v>170</v>
      </c>
      <c r="B61" s="112" t="s">
        <v>297</v>
      </c>
      <c r="C61" s="637"/>
    </row>
    <row r="62" spans="1:3" s="42" customFormat="1">
      <c r="A62" s="238" t="s">
        <v>171</v>
      </c>
      <c r="B62" s="113" t="s">
        <v>421</v>
      </c>
      <c r="C62" s="637">
        <v>100000</v>
      </c>
    </row>
    <row r="63" spans="1:3" s="42" customFormat="1">
      <c r="A63" s="238" t="s">
        <v>218</v>
      </c>
      <c r="B63" s="113" t="s">
        <v>298</v>
      </c>
      <c r="C63" s="637"/>
    </row>
    <row r="64" spans="1:3" s="42" customFormat="1" ht="13.5" thickBot="1">
      <c r="A64" s="240" t="s">
        <v>296</v>
      </c>
      <c r="B64" s="241" t="s">
        <v>299</v>
      </c>
      <c r="C64" s="637"/>
    </row>
    <row r="65" spans="1:3" s="42" customFormat="1" ht="13.5" thickBot="1">
      <c r="A65" s="243" t="s">
        <v>472</v>
      </c>
      <c r="B65" s="236" t="s">
        <v>300</v>
      </c>
      <c r="C65" s="583">
        <f>+C8+C15+C22+C29+C37+C49+C55+C60</f>
        <v>125246829</v>
      </c>
    </row>
    <row r="66" spans="1:3" s="42" customFormat="1" ht="13.5" thickBot="1">
      <c r="A66" s="244" t="s">
        <v>301</v>
      </c>
      <c r="B66" s="242" t="s">
        <v>302</v>
      </c>
      <c r="C66" s="582">
        <f>SUM(C67:C69)</f>
        <v>0</v>
      </c>
    </row>
    <row r="67" spans="1:3" s="42" customFormat="1">
      <c r="A67" s="237" t="s">
        <v>333</v>
      </c>
      <c r="B67" s="112" t="s">
        <v>303</v>
      </c>
      <c r="C67" s="637"/>
    </row>
    <row r="68" spans="1:3" s="42" customFormat="1">
      <c r="A68" s="238" t="s">
        <v>342</v>
      </c>
      <c r="B68" s="113" t="s">
        <v>304</v>
      </c>
      <c r="C68" s="637"/>
    </row>
    <row r="69" spans="1:3" s="42" customFormat="1" ht="13.5" thickBot="1">
      <c r="A69" s="240" t="s">
        <v>343</v>
      </c>
      <c r="B69" s="245" t="s">
        <v>457</v>
      </c>
      <c r="C69" s="637"/>
    </row>
    <row r="70" spans="1:3" s="42" customFormat="1" ht="13.5" thickBot="1">
      <c r="A70" s="244" t="s">
        <v>306</v>
      </c>
      <c r="B70" s="242" t="s">
        <v>307</v>
      </c>
      <c r="C70" s="582">
        <f>SUM(C71:C74)</f>
        <v>0</v>
      </c>
    </row>
    <row r="71" spans="1:3" s="42" customFormat="1">
      <c r="A71" s="237" t="s">
        <v>140</v>
      </c>
      <c r="B71" s="112" t="s">
        <v>308</v>
      </c>
      <c r="C71" s="637"/>
    </row>
    <row r="72" spans="1:3" s="42" customFormat="1">
      <c r="A72" s="238" t="s">
        <v>141</v>
      </c>
      <c r="B72" s="113" t="s">
        <v>309</v>
      </c>
      <c r="C72" s="637"/>
    </row>
    <row r="73" spans="1:3" s="42" customFormat="1">
      <c r="A73" s="238" t="s">
        <v>334</v>
      </c>
      <c r="B73" s="113" t="s">
        <v>310</v>
      </c>
      <c r="C73" s="637"/>
    </row>
    <row r="74" spans="1:3" s="42" customFormat="1" ht="13.5" thickBot="1">
      <c r="A74" s="240" t="s">
        <v>335</v>
      </c>
      <c r="B74" s="241" t="s">
        <v>311</v>
      </c>
      <c r="C74" s="637"/>
    </row>
    <row r="75" spans="1:3" s="42" customFormat="1" ht="13.5" thickBot="1">
      <c r="A75" s="244" t="s">
        <v>312</v>
      </c>
      <c r="B75" s="242" t="s">
        <v>313</v>
      </c>
      <c r="C75" s="582">
        <f>SUM(C76:C77)</f>
        <v>0</v>
      </c>
    </row>
    <row r="76" spans="1:3" s="42" customFormat="1">
      <c r="A76" s="237" t="s">
        <v>336</v>
      </c>
      <c r="B76" s="112" t="s">
        <v>314</v>
      </c>
      <c r="C76" s="637"/>
    </row>
    <row r="77" spans="1:3" s="42" customFormat="1" ht="13.5" thickBot="1">
      <c r="A77" s="240" t="s">
        <v>337</v>
      </c>
      <c r="B77" s="241" t="s">
        <v>315</v>
      </c>
      <c r="C77" s="637"/>
    </row>
    <row r="78" spans="1:3" s="42" customFormat="1" ht="13.5" thickBot="1">
      <c r="A78" s="244" t="s">
        <v>316</v>
      </c>
      <c r="B78" s="242" t="s">
        <v>317</v>
      </c>
      <c r="C78" s="582">
        <f>SUM(C79:C81)</f>
        <v>0</v>
      </c>
    </row>
    <row r="79" spans="1:3" s="42" customFormat="1">
      <c r="A79" s="237" t="s">
        <v>338</v>
      </c>
      <c r="B79" s="112" t="s">
        <v>318</v>
      </c>
      <c r="C79" s="637"/>
    </row>
    <row r="80" spans="1:3" s="42" customFormat="1">
      <c r="A80" s="238" t="s">
        <v>339</v>
      </c>
      <c r="B80" s="113" t="s">
        <v>319</v>
      </c>
      <c r="C80" s="637"/>
    </row>
    <row r="81" spans="1:7" s="42" customFormat="1" ht="13.5" thickBot="1">
      <c r="A81" s="240" t="s">
        <v>340</v>
      </c>
      <c r="B81" s="241" t="s">
        <v>320</v>
      </c>
      <c r="C81" s="637"/>
    </row>
    <row r="82" spans="1:7" s="42" customFormat="1" ht="13.5" thickBot="1">
      <c r="A82" s="244" t="s">
        <v>321</v>
      </c>
      <c r="B82" s="242" t="s">
        <v>341</v>
      </c>
      <c r="C82" s="582">
        <f>SUM(C83:C86)</f>
        <v>0</v>
      </c>
    </row>
    <row r="83" spans="1:7" s="42" customFormat="1">
      <c r="A83" s="246" t="s">
        <v>322</v>
      </c>
      <c r="B83" s="112" t="s">
        <v>323</v>
      </c>
      <c r="C83" s="637"/>
    </row>
    <row r="84" spans="1:7" s="42" customFormat="1">
      <c r="A84" s="247" t="s">
        <v>324</v>
      </c>
      <c r="B84" s="113" t="s">
        <v>325</v>
      </c>
      <c r="C84" s="637"/>
    </row>
    <row r="85" spans="1:7" s="42" customFormat="1">
      <c r="A85" s="247" t="s">
        <v>326</v>
      </c>
      <c r="B85" s="113" t="s">
        <v>327</v>
      </c>
      <c r="C85" s="637"/>
    </row>
    <row r="86" spans="1:7" s="42" customFormat="1" ht="13.5" thickBot="1">
      <c r="A86" s="248" t="s">
        <v>328</v>
      </c>
      <c r="B86" s="241" t="s">
        <v>329</v>
      </c>
      <c r="C86" s="637"/>
    </row>
    <row r="87" spans="1:7" s="42" customFormat="1" ht="13.5" thickBot="1">
      <c r="A87" s="244" t="s">
        <v>330</v>
      </c>
      <c r="B87" s="242" t="s">
        <v>471</v>
      </c>
      <c r="C87" s="640"/>
    </row>
    <row r="88" spans="1:7" s="42" customFormat="1" ht="13.5" thickBot="1">
      <c r="A88" s="244" t="s">
        <v>332</v>
      </c>
      <c r="B88" s="242" t="s">
        <v>331</v>
      </c>
      <c r="C88" s="640"/>
    </row>
    <row r="89" spans="1:7" s="42" customFormat="1" ht="13.5" thickBot="1">
      <c r="A89" s="244" t="s">
        <v>344</v>
      </c>
      <c r="B89" s="249" t="s">
        <v>474</v>
      </c>
      <c r="C89" s="583">
        <f>+C66+C70+C75+C78+C82+C88+C87</f>
        <v>0</v>
      </c>
    </row>
    <row r="90" spans="1:7" s="42" customFormat="1" ht="13.5" thickBot="1">
      <c r="A90" s="627" t="s">
        <v>473</v>
      </c>
      <c r="B90" s="251" t="s">
        <v>475</v>
      </c>
      <c r="C90" s="583">
        <f>+C65+C89</f>
        <v>125246829</v>
      </c>
      <c r="G90" s="644"/>
    </row>
    <row r="91" spans="1:7" s="42" customFormat="1">
      <c r="A91" s="628"/>
      <c r="B91" s="629"/>
      <c r="C91" s="641"/>
    </row>
    <row r="92" spans="1:7" s="624" customFormat="1">
      <c r="A92" s="776" t="s">
        <v>42</v>
      </c>
      <c r="B92" s="776"/>
    </row>
    <row r="93" spans="1:7" s="630" customFormat="1" ht="14.25" thickBot="1">
      <c r="A93" s="777" t="s">
        <v>143</v>
      </c>
      <c r="B93" s="777"/>
      <c r="C93" s="642"/>
    </row>
    <row r="94" spans="1:7" s="624" customFormat="1" ht="26.25" thickBot="1">
      <c r="A94" s="232" t="s">
        <v>64</v>
      </c>
      <c r="B94" s="233" t="s">
        <v>43</v>
      </c>
      <c r="C94" s="563" t="s">
        <v>692</v>
      </c>
    </row>
    <row r="95" spans="1:7" s="42" customFormat="1" ht="13.5" thickBot="1">
      <c r="A95" s="232" t="s">
        <v>483</v>
      </c>
      <c r="B95" s="233" t="s">
        <v>484</v>
      </c>
      <c r="C95" s="643" t="s">
        <v>485</v>
      </c>
    </row>
    <row r="96" spans="1:7" s="624" customFormat="1" ht="13.5" thickBot="1">
      <c r="A96" s="252" t="s">
        <v>14</v>
      </c>
      <c r="B96" s="253" t="s">
        <v>631</v>
      </c>
      <c r="C96" s="572">
        <f>C97+C98+C99+C100+C101+C114</f>
        <v>100723129</v>
      </c>
    </row>
    <row r="97" spans="1:3" s="624" customFormat="1">
      <c r="A97" s="254" t="s">
        <v>93</v>
      </c>
      <c r="B97" s="255" t="s">
        <v>44</v>
      </c>
      <c r="C97" s="573">
        <v>13754400</v>
      </c>
    </row>
    <row r="98" spans="1:3" s="624" customFormat="1">
      <c r="A98" s="238" t="s">
        <v>94</v>
      </c>
      <c r="B98" s="256" t="s">
        <v>172</v>
      </c>
      <c r="C98" s="574">
        <v>2831544</v>
      </c>
    </row>
    <row r="99" spans="1:3" s="624" customFormat="1">
      <c r="A99" s="238" t="s">
        <v>95</v>
      </c>
      <c r="B99" s="256" t="s">
        <v>131</v>
      </c>
      <c r="C99" s="575">
        <v>84137185</v>
      </c>
    </row>
    <row r="100" spans="1:3" s="624" customFormat="1">
      <c r="A100" s="238" t="s">
        <v>96</v>
      </c>
      <c r="B100" s="257" t="s">
        <v>173</v>
      </c>
      <c r="C100" s="575"/>
    </row>
    <row r="101" spans="1:3" s="624" customFormat="1">
      <c r="A101" s="238" t="s">
        <v>107</v>
      </c>
      <c r="B101" s="258" t="s">
        <v>174</v>
      </c>
      <c r="C101" s="575">
        <f>C102+C103+C104+C105+C106+C108+C109+C110+C111+C112+C113</f>
        <v>0</v>
      </c>
    </row>
    <row r="102" spans="1:3" s="624" customFormat="1">
      <c r="A102" s="238" t="s">
        <v>97</v>
      </c>
      <c r="B102" s="256" t="s">
        <v>438</v>
      </c>
      <c r="C102" s="575"/>
    </row>
    <row r="103" spans="1:3" s="624" customFormat="1">
      <c r="A103" s="238" t="s">
        <v>98</v>
      </c>
      <c r="B103" s="259" t="s">
        <v>437</v>
      </c>
      <c r="C103" s="575"/>
    </row>
    <row r="104" spans="1:3" s="624" customFormat="1">
      <c r="A104" s="238" t="s">
        <v>108</v>
      </c>
      <c r="B104" s="259" t="s">
        <v>436</v>
      </c>
      <c r="C104" s="575"/>
    </row>
    <row r="105" spans="1:3" s="624" customFormat="1">
      <c r="A105" s="238" t="s">
        <v>109</v>
      </c>
      <c r="B105" s="260" t="s">
        <v>347</v>
      </c>
      <c r="C105" s="575"/>
    </row>
    <row r="106" spans="1:3" s="624" customFormat="1">
      <c r="A106" s="238" t="s">
        <v>110</v>
      </c>
      <c r="B106" s="261" t="s">
        <v>348</v>
      </c>
      <c r="C106" s="575"/>
    </row>
    <row r="107" spans="1:3" s="624" customFormat="1">
      <c r="A107" s="238" t="s">
        <v>111</v>
      </c>
      <c r="B107" s="261" t="s">
        <v>349</v>
      </c>
      <c r="C107" s="575"/>
    </row>
    <row r="108" spans="1:3" s="624" customFormat="1">
      <c r="A108" s="238" t="s">
        <v>113</v>
      </c>
      <c r="B108" s="260" t="s">
        <v>350</v>
      </c>
      <c r="C108" s="575"/>
    </row>
    <row r="109" spans="1:3" s="624" customFormat="1">
      <c r="A109" s="238" t="s">
        <v>175</v>
      </c>
      <c r="B109" s="260" t="s">
        <v>351</v>
      </c>
      <c r="C109" s="575"/>
    </row>
    <row r="110" spans="1:3" s="624" customFormat="1">
      <c r="A110" s="238" t="s">
        <v>345</v>
      </c>
      <c r="B110" s="261" t="s">
        <v>352</v>
      </c>
      <c r="C110" s="575"/>
    </row>
    <row r="111" spans="1:3" s="624" customFormat="1">
      <c r="A111" s="262" t="s">
        <v>346</v>
      </c>
      <c r="B111" s="259" t="s">
        <v>353</v>
      </c>
      <c r="C111" s="575"/>
    </row>
    <row r="112" spans="1:3" s="624" customFormat="1">
      <c r="A112" s="238" t="s">
        <v>434</v>
      </c>
      <c r="B112" s="259" t="s">
        <v>354</v>
      </c>
      <c r="C112" s="575"/>
    </row>
    <row r="113" spans="1:3" s="624" customFormat="1">
      <c r="A113" s="240" t="s">
        <v>435</v>
      </c>
      <c r="B113" s="259" t="s">
        <v>355</v>
      </c>
      <c r="C113" s="575"/>
    </row>
    <row r="114" spans="1:3" s="624" customFormat="1">
      <c r="A114" s="238" t="s">
        <v>439</v>
      </c>
      <c r="B114" s="257" t="s">
        <v>45</v>
      </c>
      <c r="C114" s="574">
        <f>C115+C116</f>
        <v>0</v>
      </c>
    </row>
    <row r="115" spans="1:3" s="624" customFormat="1">
      <c r="A115" s="238" t="s">
        <v>440</v>
      </c>
      <c r="B115" s="256" t="s">
        <v>442</v>
      </c>
      <c r="C115" s="574"/>
    </row>
    <row r="116" spans="1:3" s="624" customFormat="1">
      <c r="A116" s="238" t="s">
        <v>441</v>
      </c>
      <c r="B116" s="631" t="s">
        <v>443</v>
      </c>
      <c r="C116" s="574"/>
    </row>
    <row r="117" spans="1:3" s="624" customFormat="1" ht="13.5" thickBot="1">
      <c r="A117" s="265" t="s">
        <v>15</v>
      </c>
      <c r="B117" s="266" t="s">
        <v>632</v>
      </c>
      <c r="C117" s="578">
        <f>+C118+C120+C122</f>
        <v>24523700</v>
      </c>
    </row>
    <row r="118" spans="1:3" s="624" customFormat="1">
      <c r="A118" s="237" t="s">
        <v>99</v>
      </c>
      <c r="B118" s="256" t="s">
        <v>217</v>
      </c>
      <c r="C118" s="579">
        <v>18097500</v>
      </c>
    </row>
    <row r="119" spans="1:3" s="624" customFormat="1">
      <c r="A119" s="237" t="s">
        <v>100</v>
      </c>
      <c r="B119" s="267" t="s">
        <v>359</v>
      </c>
      <c r="C119" s="579"/>
    </row>
    <row r="120" spans="1:3" s="624" customFormat="1">
      <c r="A120" s="237" t="s">
        <v>101</v>
      </c>
      <c r="B120" s="267" t="s">
        <v>176</v>
      </c>
      <c r="C120" s="574">
        <v>6426200</v>
      </c>
    </row>
    <row r="121" spans="1:3" s="624" customFormat="1">
      <c r="A121" s="237" t="s">
        <v>102</v>
      </c>
      <c r="B121" s="267" t="s">
        <v>360</v>
      </c>
      <c r="C121" s="580"/>
    </row>
    <row r="122" spans="1:3" s="624" customFormat="1">
      <c r="A122" s="237" t="s">
        <v>103</v>
      </c>
      <c r="B122" s="241" t="s">
        <v>219</v>
      </c>
      <c r="C122" s="580">
        <f>C123+C124+C125+C126+C127+C128+C129+C130</f>
        <v>0</v>
      </c>
    </row>
    <row r="123" spans="1:3" s="624" customFormat="1">
      <c r="A123" s="237" t="s">
        <v>112</v>
      </c>
      <c r="B123" s="239" t="s">
        <v>422</v>
      </c>
      <c r="C123" s="580"/>
    </row>
    <row r="124" spans="1:3" s="624" customFormat="1">
      <c r="A124" s="237" t="s">
        <v>114</v>
      </c>
      <c r="B124" s="268" t="s">
        <v>365</v>
      </c>
      <c r="C124" s="580"/>
    </row>
    <row r="125" spans="1:3" s="624" customFormat="1">
      <c r="A125" s="237" t="s">
        <v>177</v>
      </c>
      <c r="B125" s="261" t="s">
        <v>349</v>
      </c>
      <c r="C125" s="580"/>
    </row>
    <row r="126" spans="1:3" s="624" customFormat="1">
      <c r="A126" s="237" t="s">
        <v>178</v>
      </c>
      <c r="B126" s="261" t="s">
        <v>364</v>
      </c>
      <c r="C126" s="580"/>
    </row>
    <row r="127" spans="1:3" s="624" customFormat="1">
      <c r="A127" s="237" t="s">
        <v>179</v>
      </c>
      <c r="B127" s="261" t="s">
        <v>363</v>
      </c>
      <c r="C127" s="580"/>
    </row>
    <row r="128" spans="1:3" s="624" customFormat="1">
      <c r="A128" s="237" t="s">
        <v>356</v>
      </c>
      <c r="B128" s="261" t="s">
        <v>352</v>
      </c>
      <c r="C128" s="580"/>
    </row>
    <row r="129" spans="1:3" s="624" customFormat="1">
      <c r="A129" s="237" t="s">
        <v>357</v>
      </c>
      <c r="B129" s="261" t="s">
        <v>362</v>
      </c>
      <c r="C129" s="580"/>
    </row>
    <row r="130" spans="1:3" s="624" customFormat="1" ht="13.5" thickBot="1">
      <c r="A130" s="262" t="s">
        <v>358</v>
      </c>
      <c r="B130" s="261" t="s">
        <v>361</v>
      </c>
      <c r="C130" s="581"/>
    </row>
    <row r="131" spans="1:3" s="624" customFormat="1" ht="13.5" thickBot="1">
      <c r="A131" s="235" t="s">
        <v>16</v>
      </c>
      <c r="B131" s="269" t="s">
        <v>444</v>
      </c>
      <c r="C131" s="582">
        <f>+C96+C117</f>
        <v>125246829</v>
      </c>
    </row>
    <row r="132" spans="1:3" s="624" customFormat="1" ht="13.5" thickBot="1">
      <c r="A132" s="235" t="s">
        <v>17</v>
      </c>
      <c r="B132" s="269" t="s">
        <v>445</v>
      </c>
      <c r="C132" s="582">
        <f>+C133+C134+C135</f>
        <v>0</v>
      </c>
    </row>
    <row r="133" spans="1:3" s="624" customFormat="1">
      <c r="A133" s="237" t="s">
        <v>257</v>
      </c>
      <c r="B133" s="267" t="s">
        <v>452</v>
      </c>
      <c r="C133" s="580"/>
    </row>
    <row r="134" spans="1:3" s="624" customFormat="1">
      <c r="A134" s="237" t="s">
        <v>260</v>
      </c>
      <c r="B134" s="267" t="s">
        <v>453</v>
      </c>
      <c r="C134" s="580"/>
    </row>
    <row r="135" spans="1:3" s="624" customFormat="1" ht="13.5" thickBot="1">
      <c r="A135" s="262" t="s">
        <v>261</v>
      </c>
      <c r="B135" s="267" t="s">
        <v>454</v>
      </c>
      <c r="C135" s="580"/>
    </row>
    <row r="136" spans="1:3" s="624" customFormat="1" ht="13.5" thickBot="1">
      <c r="A136" s="235" t="s">
        <v>18</v>
      </c>
      <c r="B136" s="269" t="s">
        <v>446</v>
      </c>
      <c r="C136" s="582">
        <f>SUM(C137:C142)</f>
        <v>0</v>
      </c>
    </row>
    <row r="137" spans="1:3" s="624" customFormat="1">
      <c r="A137" s="237" t="s">
        <v>86</v>
      </c>
      <c r="B137" s="270" t="s">
        <v>455</v>
      </c>
      <c r="C137" s="580"/>
    </row>
    <row r="138" spans="1:3" s="624" customFormat="1">
      <c r="A138" s="237" t="s">
        <v>87</v>
      </c>
      <c r="B138" s="270" t="s">
        <v>447</v>
      </c>
      <c r="C138" s="580"/>
    </row>
    <row r="139" spans="1:3" s="624" customFormat="1">
      <c r="A139" s="237" t="s">
        <v>88</v>
      </c>
      <c r="B139" s="270" t="s">
        <v>448</v>
      </c>
      <c r="C139" s="580"/>
    </row>
    <row r="140" spans="1:3" s="624" customFormat="1">
      <c r="A140" s="237" t="s">
        <v>164</v>
      </c>
      <c r="B140" s="270" t="s">
        <v>449</v>
      </c>
      <c r="C140" s="580"/>
    </row>
    <row r="141" spans="1:3" s="624" customFormat="1">
      <c r="A141" s="237" t="s">
        <v>165</v>
      </c>
      <c r="B141" s="270" t="s">
        <v>450</v>
      </c>
      <c r="C141" s="580"/>
    </row>
    <row r="142" spans="1:3" s="624" customFormat="1" ht="13.5" thickBot="1">
      <c r="A142" s="262" t="s">
        <v>166</v>
      </c>
      <c r="B142" s="270" t="s">
        <v>451</v>
      </c>
      <c r="C142" s="580"/>
    </row>
    <row r="143" spans="1:3" s="624" customFormat="1" ht="13.5" thickBot="1">
      <c r="A143" s="235" t="s">
        <v>19</v>
      </c>
      <c r="B143" s="269" t="s">
        <v>459</v>
      </c>
      <c r="C143" s="583">
        <f>+C144+C145+C146+C147</f>
        <v>0</v>
      </c>
    </row>
    <row r="144" spans="1:3" s="624" customFormat="1">
      <c r="A144" s="237" t="s">
        <v>89</v>
      </c>
      <c r="B144" s="270" t="s">
        <v>366</v>
      </c>
      <c r="C144" s="580"/>
    </row>
    <row r="145" spans="1:3" s="624" customFormat="1">
      <c r="A145" s="237" t="s">
        <v>90</v>
      </c>
      <c r="B145" s="270" t="s">
        <v>367</v>
      </c>
      <c r="C145" s="580"/>
    </row>
    <row r="146" spans="1:3" s="624" customFormat="1">
      <c r="A146" s="237" t="s">
        <v>281</v>
      </c>
      <c r="B146" s="270" t="s">
        <v>460</v>
      </c>
      <c r="C146" s="580"/>
    </row>
    <row r="147" spans="1:3" s="624" customFormat="1" ht="13.5" thickBot="1">
      <c r="A147" s="262" t="s">
        <v>282</v>
      </c>
      <c r="B147" s="271" t="s">
        <v>386</v>
      </c>
      <c r="C147" s="580"/>
    </row>
    <row r="148" spans="1:3" s="624" customFormat="1" ht="13.5" thickBot="1">
      <c r="A148" s="235" t="s">
        <v>20</v>
      </c>
      <c r="B148" s="269" t="s">
        <v>461</v>
      </c>
      <c r="C148" s="584">
        <f>SUM(C149:C153)</f>
        <v>0</v>
      </c>
    </row>
    <row r="149" spans="1:3" s="624" customFormat="1">
      <c r="A149" s="237" t="s">
        <v>91</v>
      </c>
      <c r="B149" s="270" t="s">
        <v>456</v>
      </c>
      <c r="C149" s="580"/>
    </row>
    <row r="150" spans="1:3" s="624" customFormat="1">
      <c r="A150" s="237" t="s">
        <v>92</v>
      </c>
      <c r="B150" s="270" t="s">
        <v>463</v>
      </c>
      <c r="C150" s="580"/>
    </row>
    <row r="151" spans="1:3" s="624" customFormat="1">
      <c r="A151" s="237" t="s">
        <v>293</v>
      </c>
      <c r="B151" s="270" t="s">
        <v>458</v>
      </c>
      <c r="C151" s="580"/>
    </row>
    <row r="152" spans="1:3" s="624" customFormat="1">
      <c r="A152" s="237" t="s">
        <v>294</v>
      </c>
      <c r="B152" s="270" t="s">
        <v>464</v>
      </c>
      <c r="C152" s="580"/>
    </row>
    <row r="153" spans="1:3" s="624" customFormat="1" ht="13.5" thickBot="1">
      <c r="A153" s="237" t="s">
        <v>462</v>
      </c>
      <c r="B153" s="270" t="s">
        <v>465</v>
      </c>
      <c r="C153" s="580"/>
    </row>
    <row r="154" spans="1:3" s="624" customFormat="1" ht="13.5" thickBot="1">
      <c r="A154" s="235" t="s">
        <v>21</v>
      </c>
      <c r="B154" s="269" t="s">
        <v>466</v>
      </c>
      <c r="C154" s="585"/>
    </row>
    <row r="155" spans="1:3" s="624" customFormat="1" ht="13.5" thickBot="1">
      <c r="A155" s="235" t="s">
        <v>22</v>
      </c>
      <c r="B155" s="269" t="s">
        <v>467</v>
      </c>
      <c r="C155" s="585"/>
    </row>
    <row r="156" spans="1:3" s="624" customFormat="1" ht="13.5" thickBot="1">
      <c r="A156" s="235" t="s">
        <v>23</v>
      </c>
      <c r="B156" s="269" t="s">
        <v>469</v>
      </c>
      <c r="C156" s="586">
        <f>+C132+C136+C143+C148+C154+C155</f>
        <v>0</v>
      </c>
    </row>
    <row r="157" spans="1:3" s="42" customFormat="1" ht="13.5" thickBot="1">
      <c r="A157" s="273" t="s">
        <v>24</v>
      </c>
      <c r="B157" s="274" t="s">
        <v>468</v>
      </c>
      <c r="C157" s="586">
        <f>+C131+C156</f>
        <v>125246829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orientation="portrait" verticalDpi="300" r:id="rId1"/>
  <headerFooter alignWithMargins="0">
    <oddFooter>&amp;P. oldal, összesen: &amp;N</oddFooter>
  </headerFooter>
  <rowBreaks count="3" manualBreakCount="3">
    <brk id="49" max="16383" man="1"/>
    <brk id="90" max="16383" man="1"/>
    <brk id="1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7030A0"/>
  </sheetPr>
  <dimension ref="A1:C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28" customWidth="1"/>
    <col min="2" max="2" width="72" style="9" customWidth="1"/>
    <col min="3" max="3" width="25" style="29" customWidth="1"/>
    <col min="4" max="16384" width="9.33203125" style="109"/>
  </cols>
  <sheetData>
    <row r="1" spans="1:3" s="102" customFormat="1" ht="16.5" customHeight="1" thickBot="1">
      <c r="A1" s="1"/>
      <c r="B1" s="103" t="s">
        <v>721</v>
      </c>
      <c r="C1" s="103"/>
    </row>
    <row r="2" spans="1:3" s="105" customFormat="1" ht="21" customHeight="1">
      <c r="A2" s="2" t="s">
        <v>56</v>
      </c>
      <c r="B2" s="3" t="s">
        <v>536</v>
      </c>
      <c r="C2" s="104" t="s">
        <v>49</v>
      </c>
    </row>
    <row r="3" spans="1:3" s="105" customFormat="1" ht="16.5" thickBot="1">
      <c r="A3" s="106" t="s">
        <v>191</v>
      </c>
      <c r="B3" s="4" t="s">
        <v>519</v>
      </c>
      <c r="C3" s="107" t="s">
        <v>425</v>
      </c>
    </row>
    <row r="4" spans="1:3" s="108" customFormat="1" ht="15.95" customHeight="1" thickBot="1">
      <c r="A4" s="5"/>
      <c r="B4" s="5"/>
      <c r="C4" s="6" t="s">
        <v>581</v>
      </c>
    </row>
    <row r="5" spans="1:3" ht="26.25" thickBot="1">
      <c r="A5" s="7" t="s">
        <v>193</v>
      </c>
      <c r="B5" s="8" t="s">
        <v>50</v>
      </c>
      <c r="C5" s="563" t="s">
        <v>692</v>
      </c>
    </row>
    <row r="6" spans="1:3" s="110" customFormat="1" ht="12.95" customHeight="1" thickBot="1">
      <c r="A6" s="10" t="s">
        <v>483</v>
      </c>
      <c r="B6" s="11" t="s">
        <v>484</v>
      </c>
      <c r="C6" s="12" t="s">
        <v>485</v>
      </c>
    </row>
    <row r="7" spans="1:3" s="110" customFormat="1" ht="15.95" customHeight="1" thickBot="1">
      <c r="A7" s="13"/>
      <c r="B7" s="14" t="s">
        <v>51</v>
      </c>
      <c r="C7" s="111"/>
    </row>
    <row r="8" spans="1:3" s="110" customFormat="1" ht="12" customHeight="1" thickBot="1">
      <c r="A8" s="74" t="s">
        <v>14</v>
      </c>
      <c r="B8" s="40" t="s">
        <v>241</v>
      </c>
      <c r="C8" s="41">
        <f>+C9+C10+C11+C12+C13+C14</f>
        <v>0</v>
      </c>
    </row>
    <row r="9" spans="1:3" s="203" customFormat="1" ht="12" customHeight="1">
      <c r="A9" s="202" t="s">
        <v>93</v>
      </c>
      <c r="B9" s="44" t="s">
        <v>242</v>
      </c>
      <c r="C9" s="45"/>
    </row>
    <row r="10" spans="1:3" s="205" customFormat="1" ht="12" customHeight="1">
      <c r="A10" s="204" t="s">
        <v>94</v>
      </c>
      <c r="B10" s="47" t="s">
        <v>243</v>
      </c>
      <c r="C10" s="48"/>
    </row>
    <row r="11" spans="1:3" s="205" customFormat="1" ht="12" customHeight="1">
      <c r="A11" s="204" t="s">
        <v>95</v>
      </c>
      <c r="B11" s="47" t="s">
        <v>244</v>
      </c>
      <c r="C11" s="48"/>
    </row>
    <row r="12" spans="1:3" s="205" customFormat="1" ht="12" customHeight="1">
      <c r="A12" s="204" t="s">
        <v>96</v>
      </c>
      <c r="B12" s="47" t="s">
        <v>245</v>
      </c>
      <c r="C12" s="48"/>
    </row>
    <row r="13" spans="1:3" s="205" customFormat="1" ht="12" customHeight="1">
      <c r="A13" s="204" t="s">
        <v>139</v>
      </c>
      <c r="B13" s="47" t="s">
        <v>497</v>
      </c>
      <c r="C13" s="48"/>
    </row>
    <row r="14" spans="1:3" s="203" customFormat="1" ht="12" customHeight="1" thickBot="1">
      <c r="A14" s="206" t="s">
        <v>97</v>
      </c>
      <c r="B14" s="54" t="s">
        <v>427</v>
      </c>
      <c r="C14" s="48"/>
    </row>
    <row r="15" spans="1:3" s="203" customFormat="1" ht="12" customHeight="1" thickBot="1">
      <c r="A15" s="74" t="s">
        <v>15</v>
      </c>
      <c r="B15" s="52" t="s">
        <v>246</v>
      </c>
      <c r="C15" s="41">
        <f>+C16+C17+C18+C19+C20</f>
        <v>0</v>
      </c>
    </row>
    <row r="16" spans="1:3" s="203" customFormat="1" ht="12" customHeight="1">
      <c r="A16" s="202" t="s">
        <v>99</v>
      </c>
      <c r="B16" s="44" t="s">
        <v>247</v>
      </c>
      <c r="C16" s="45"/>
    </row>
    <row r="17" spans="1:3" s="203" customFormat="1" ht="12" customHeight="1">
      <c r="A17" s="204" t="s">
        <v>100</v>
      </c>
      <c r="B17" s="47" t="s">
        <v>248</v>
      </c>
      <c r="C17" s="48"/>
    </row>
    <row r="18" spans="1:3" s="203" customFormat="1" ht="12" customHeight="1">
      <c r="A18" s="204" t="s">
        <v>101</v>
      </c>
      <c r="B18" s="47" t="s">
        <v>416</v>
      </c>
      <c r="C18" s="48"/>
    </row>
    <row r="19" spans="1:3" s="203" customFormat="1" ht="12" customHeight="1">
      <c r="A19" s="204" t="s">
        <v>102</v>
      </c>
      <c r="B19" s="47" t="s">
        <v>417</v>
      </c>
      <c r="C19" s="48"/>
    </row>
    <row r="20" spans="1:3" s="203" customFormat="1" ht="12" customHeight="1">
      <c r="A20" s="204" t="s">
        <v>103</v>
      </c>
      <c r="B20" s="47" t="s">
        <v>249</v>
      </c>
      <c r="C20" s="48"/>
    </row>
    <row r="21" spans="1:3" s="205" customFormat="1" ht="12" customHeight="1" thickBot="1">
      <c r="A21" s="206" t="s">
        <v>112</v>
      </c>
      <c r="B21" s="54" t="s">
        <v>250</v>
      </c>
      <c r="C21" s="53"/>
    </row>
    <row r="22" spans="1:3" s="205" customFormat="1" ht="12" customHeight="1" thickBot="1">
      <c r="A22" s="74" t="s">
        <v>16</v>
      </c>
      <c r="B22" s="40" t="s">
        <v>251</v>
      </c>
      <c r="C22" s="41">
        <f>+C23+C24+C25+C26+C27</f>
        <v>0</v>
      </c>
    </row>
    <row r="23" spans="1:3" s="205" customFormat="1" ht="12" customHeight="1">
      <c r="A23" s="202" t="s">
        <v>82</v>
      </c>
      <c r="B23" s="44" t="s">
        <v>252</v>
      </c>
      <c r="C23" s="45"/>
    </row>
    <row r="24" spans="1:3" s="203" customFormat="1" ht="12" customHeight="1">
      <c r="A24" s="204" t="s">
        <v>83</v>
      </c>
      <c r="B24" s="47" t="s">
        <v>253</v>
      </c>
      <c r="C24" s="48"/>
    </row>
    <row r="25" spans="1:3" s="205" customFormat="1" ht="12" customHeight="1">
      <c r="A25" s="204" t="s">
        <v>84</v>
      </c>
      <c r="B25" s="47" t="s">
        <v>418</v>
      </c>
      <c r="C25" s="48"/>
    </row>
    <row r="26" spans="1:3" s="205" customFormat="1" ht="12" customHeight="1">
      <c r="A26" s="204" t="s">
        <v>85</v>
      </c>
      <c r="B26" s="47" t="s">
        <v>419</v>
      </c>
      <c r="C26" s="48"/>
    </row>
    <row r="27" spans="1:3" s="205" customFormat="1" ht="12" customHeight="1">
      <c r="A27" s="204" t="s">
        <v>160</v>
      </c>
      <c r="B27" s="47" t="s">
        <v>254</v>
      </c>
      <c r="C27" s="48"/>
    </row>
    <row r="28" spans="1:3" s="205" customFormat="1" ht="12" customHeight="1" thickBot="1">
      <c r="A28" s="206" t="s">
        <v>161</v>
      </c>
      <c r="B28" s="54" t="s">
        <v>255</v>
      </c>
      <c r="C28" s="53"/>
    </row>
    <row r="29" spans="1:3" s="205" customFormat="1" ht="12" customHeight="1" thickBot="1">
      <c r="A29" s="74" t="s">
        <v>162</v>
      </c>
      <c r="B29" s="40" t="s">
        <v>256</v>
      </c>
      <c r="C29" s="55">
        <f>+C30+C34+C35+C36</f>
        <v>0</v>
      </c>
    </row>
    <row r="30" spans="1:3" s="205" customFormat="1" ht="12" customHeight="1">
      <c r="A30" s="202" t="s">
        <v>257</v>
      </c>
      <c r="B30" s="44" t="s">
        <v>498</v>
      </c>
      <c r="C30" s="56">
        <f>+C31+C32+C33</f>
        <v>0</v>
      </c>
    </row>
    <row r="31" spans="1:3" s="205" customFormat="1" ht="12" customHeight="1">
      <c r="A31" s="204" t="s">
        <v>258</v>
      </c>
      <c r="B31" s="47" t="s">
        <v>263</v>
      </c>
      <c r="C31" s="48"/>
    </row>
    <row r="32" spans="1:3" s="205" customFormat="1" ht="12" customHeight="1">
      <c r="A32" s="204" t="s">
        <v>259</v>
      </c>
      <c r="B32" s="47" t="s">
        <v>264</v>
      </c>
      <c r="C32" s="48"/>
    </row>
    <row r="33" spans="1:3" s="205" customFormat="1" ht="12" customHeight="1">
      <c r="A33" s="204" t="s">
        <v>431</v>
      </c>
      <c r="B33" s="57" t="s">
        <v>432</v>
      </c>
      <c r="C33" s="48"/>
    </row>
    <row r="34" spans="1:3" s="205" customFormat="1" ht="12" customHeight="1">
      <c r="A34" s="204" t="s">
        <v>260</v>
      </c>
      <c r="B34" s="47" t="s">
        <v>265</v>
      </c>
      <c r="C34" s="48"/>
    </row>
    <row r="35" spans="1:3" s="205" customFormat="1" ht="12" customHeight="1">
      <c r="A35" s="204" t="s">
        <v>261</v>
      </c>
      <c r="B35" s="47" t="s">
        <v>266</v>
      </c>
      <c r="C35" s="48"/>
    </row>
    <row r="36" spans="1:3" s="205" customFormat="1" ht="12" customHeight="1" thickBot="1">
      <c r="A36" s="206" t="s">
        <v>262</v>
      </c>
      <c r="B36" s="54" t="s">
        <v>267</v>
      </c>
      <c r="C36" s="53"/>
    </row>
    <row r="37" spans="1:3" s="205" customFormat="1" ht="12" customHeight="1" thickBot="1">
      <c r="A37" s="74" t="s">
        <v>18</v>
      </c>
      <c r="B37" s="40" t="s">
        <v>428</v>
      </c>
      <c r="C37" s="41">
        <f>SUM(C38:C48)</f>
        <v>0</v>
      </c>
    </row>
    <row r="38" spans="1:3" s="205" customFormat="1" ht="12" customHeight="1">
      <c r="A38" s="202" t="s">
        <v>86</v>
      </c>
      <c r="B38" s="44" t="s">
        <v>270</v>
      </c>
      <c r="C38" s="45"/>
    </row>
    <row r="39" spans="1:3" s="205" customFormat="1" ht="12" customHeight="1">
      <c r="A39" s="204" t="s">
        <v>87</v>
      </c>
      <c r="B39" s="47" t="s">
        <v>271</v>
      </c>
      <c r="C39" s="48"/>
    </row>
    <row r="40" spans="1:3" s="205" customFormat="1" ht="12" customHeight="1">
      <c r="A40" s="204" t="s">
        <v>88</v>
      </c>
      <c r="B40" s="47" t="s">
        <v>272</v>
      </c>
      <c r="C40" s="48"/>
    </row>
    <row r="41" spans="1:3" s="205" customFormat="1" ht="12" customHeight="1">
      <c r="A41" s="204" t="s">
        <v>164</v>
      </c>
      <c r="B41" s="47" t="s">
        <v>273</v>
      </c>
      <c r="C41" s="48"/>
    </row>
    <row r="42" spans="1:3" s="205" customFormat="1" ht="12" customHeight="1">
      <c r="A42" s="204" t="s">
        <v>165</v>
      </c>
      <c r="B42" s="47" t="s">
        <v>274</v>
      </c>
      <c r="C42" s="48"/>
    </row>
    <row r="43" spans="1:3" s="205" customFormat="1" ht="12" customHeight="1">
      <c r="A43" s="204" t="s">
        <v>166</v>
      </c>
      <c r="B43" s="47" t="s">
        <v>275</v>
      </c>
      <c r="C43" s="48"/>
    </row>
    <row r="44" spans="1:3" s="205" customFormat="1" ht="12" customHeight="1">
      <c r="A44" s="204" t="s">
        <v>167</v>
      </c>
      <c r="B44" s="47" t="s">
        <v>276</v>
      </c>
      <c r="C44" s="48"/>
    </row>
    <row r="45" spans="1:3" s="205" customFormat="1" ht="12" customHeight="1">
      <c r="A45" s="204" t="s">
        <v>168</v>
      </c>
      <c r="B45" s="47" t="s">
        <v>277</v>
      </c>
      <c r="C45" s="48"/>
    </row>
    <row r="46" spans="1:3" s="205" customFormat="1" ht="12" customHeight="1">
      <c r="A46" s="204" t="s">
        <v>268</v>
      </c>
      <c r="B46" s="47" t="s">
        <v>278</v>
      </c>
      <c r="C46" s="58"/>
    </row>
    <row r="47" spans="1:3" s="205" customFormat="1" ht="12" customHeight="1">
      <c r="A47" s="206" t="s">
        <v>269</v>
      </c>
      <c r="B47" s="54" t="s">
        <v>430</v>
      </c>
      <c r="C47" s="59"/>
    </row>
    <row r="48" spans="1:3" s="205" customFormat="1" ht="12" customHeight="1" thickBot="1">
      <c r="A48" s="206" t="s">
        <v>429</v>
      </c>
      <c r="B48" s="54" t="s">
        <v>279</v>
      </c>
      <c r="C48" s="59"/>
    </row>
    <row r="49" spans="1:3" s="205" customFormat="1" ht="12" customHeight="1" thickBot="1">
      <c r="A49" s="74" t="s">
        <v>19</v>
      </c>
      <c r="B49" s="40" t="s">
        <v>280</v>
      </c>
      <c r="C49" s="41">
        <f>SUM(C50:C54)</f>
        <v>0</v>
      </c>
    </row>
    <row r="50" spans="1:3" s="205" customFormat="1" ht="12" customHeight="1">
      <c r="A50" s="202" t="s">
        <v>89</v>
      </c>
      <c r="B50" s="44" t="s">
        <v>284</v>
      </c>
      <c r="C50" s="60"/>
    </row>
    <row r="51" spans="1:3" s="205" customFormat="1" ht="12" customHeight="1">
      <c r="A51" s="204" t="s">
        <v>90</v>
      </c>
      <c r="B51" s="47" t="s">
        <v>285</v>
      </c>
      <c r="C51" s="58"/>
    </row>
    <row r="52" spans="1:3" s="205" customFormat="1" ht="12" customHeight="1">
      <c r="A52" s="204" t="s">
        <v>281</v>
      </c>
      <c r="B52" s="47" t="s">
        <v>286</v>
      </c>
      <c r="C52" s="58"/>
    </row>
    <row r="53" spans="1:3" s="205" customFormat="1" ht="12" customHeight="1">
      <c r="A53" s="204" t="s">
        <v>282</v>
      </c>
      <c r="B53" s="47" t="s">
        <v>287</v>
      </c>
      <c r="C53" s="58"/>
    </row>
    <row r="54" spans="1:3" s="205" customFormat="1" ht="12" customHeight="1" thickBot="1">
      <c r="A54" s="206" t="s">
        <v>283</v>
      </c>
      <c r="B54" s="54" t="s">
        <v>288</v>
      </c>
      <c r="C54" s="59"/>
    </row>
    <row r="55" spans="1:3" s="205" customFormat="1" ht="12" customHeight="1" thickBot="1">
      <c r="A55" s="74" t="s">
        <v>169</v>
      </c>
      <c r="B55" s="40" t="s">
        <v>289</v>
      </c>
      <c r="C55" s="41">
        <f>SUM(C56:C58)</f>
        <v>0</v>
      </c>
    </row>
    <row r="56" spans="1:3" s="205" customFormat="1" ht="12" customHeight="1">
      <c r="A56" s="202" t="s">
        <v>91</v>
      </c>
      <c r="B56" s="44" t="s">
        <v>290</v>
      </c>
      <c r="C56" s="45"/>
    </row>
    <row r="57" spans="1:3" s="205" customFormat="1" ht="12" customHeight="1">
      <c r="A57" s="204" t="s">
        <v>92</v>
      </c>
      <c r="B57" s="47" t="s">
        <v>420</v>
      </c>
      <c r="C57" s="48"/>
    </row>
    <row r="58" spans="1:3" s="205" customFormat="1" ht="12" customHeight="1">
      <c r="A58" s="204" t="s">
        <v>293</v>
      </c>
      <c r="B58" s="47" t="s">
        <v>291</v>
      </c>
      <c r="C58" s="48"/>
    </row>
    <row r="59" spans="1:3" s="205" customFormat="1" ht="12" customHeight="1" thickBot="1">
      <c r="A59" s="206" t="s">
        <v>294</v>
      </c>
      <c r="B59" s="54" t="s">
        <v>292</v>
      </c>
      <c r="C59" s="53"/>
    </row>
    <row r="60" spans="1:3" s="205" customFormat="1" ht="12" customHeight="1" thickBot="1">
      <c r="A60" s="74" t="s">
        <v>21</v>
      </c>
      <c r="B60" s="52" t="s">
        <v>295</v>
      </c>
      <c r="C60" s="41">
        <f>SUM(C61:C63)</f>
        <v>0</v>
      </c>
    </row>
    <row r="61" spans="1:3" s="205" customFormat="1" ht="12" customHeight="1">
      <c r="A61" s="202" t="s">
        <v>170</v>
      </c>
      <c r="B61" s="44" t="s">
        <v>297</v>
      </c>
      <c r="C61" s="58"/>
    </row>
    <row r="62" spans="1:3" s="205" customFormat="1" ht="12" customHeight="1">
      <c r="A62" s="204" t="s">
        <v>171</v>
      </c>
      <c r="B62" s="47" t="s">
        <v>421</v>
      </c>
      <c r="C62" s="58"/>
    </row>
    <row r="63" spans="1:3" s="205" customFormat="1" ht="12" customHeight="1">
      <c r="A63" s="204" t="s">
        <v>218</v>
      </c>
      <c r="B63" s="47" t="s">
        <v>298</v>
      </c>
      <c r="C63" s="58"/>
    </row>
    <row r="64" spans="1:3" s="205" customFormat="1" ht="12" customHeight="1" thickBot="1">
      <c r="A64" s="206" t="s">
        <v>296</v>
      </c>
      <c r="B64" s="54" t="s">
        <v>299</v>
      </c>
      <c r="C64" s="58"/>
    </row>
    <row r="65" spans="1:3" s="205" customFormat="1" ht="12" customHeight="1" thickBot="1">
      <c r="A65" s="74" t="s">
        <v>22</v>
      </c>
      <c r="B65" s="40" t="s">
        <v>300</v>
      </c>
      <c r="C65" s="55">
        <f>+C8+C15+C22+C29+C37+C49+C55+C60</f>
        <v>0</v>
      </c>
    </row>
    <row r="66" spans="1:3" s="205" customFormat="1" ht="12" customHeight="1" thickBot="1">
      <c r="A66" s="207" t="s">
        <v>390</v>
      </c>
      <c r="B66" s="52" t="s">
        <v>302</v>
      </c>
      <c r="C66" s="41">
        <f>SUM(C67:C69)</f>
        <v>0</v>
      </c>
    </row>
    <row r="67" spans="1:3" s="205" customFormat="1" ht="12" customHeight="1">
      <c r="A67" s="202" t="s">
        <v>333</v>
      </c>
      <c r="B67" s="44" t="s">
        <v>303</v>
      </c>
      <c r="C67" s="58"/>
    </row>
    <row r="68" spans="1:3" s="205" customFormat="1" ht="12" customHeight="1">
      <c r="A68" s="204" t="s">
        <v>342</v>
      </c>
      <c r="B68" s="47" t="s">
        <v>304</v>
      </c>
      <c r="C68" s="58"/>
    </row>
    <row r="69" spans="1:3" s="205" customFormat="1" ht="12" customHeight="1" thickBot="1">
      <c r="A69" s="206" t="s">
        <v>343</v>
      </c>
      <c r="B69" s="208" t="s">
        <v>305</v>
      </c>
      <c r="C69" s="58"/>
    </row>
    <row r="70" spans="1:3" s="205" customFormat="1" ht="12" customHeight="1" thickBot="1">
      <c r="A70" s="207" t="s">
        <v>306</v>
      </c>
      <c r="B70" s="52" t="s">
        <v>307</v>
      </c>
      <c r="C70" s="41">
        <f>SUM(C71:C74)</f>
        <v>0</v>
      </c>
    </row>
    <row r="71" spans="1:3" s="205" customFormat="1" ht="12" customHeight="1">
      <c r="A71" s="202" t="s">
        <v>140</v>
      </c>
      <c r="B71" s="44" t="s">
        <v>308</v>
      </c>
      <c r="C71" s="58"/>
    </row>
    <row r="72" spans="1:3" s="205" customFormat="1" ht="12" customHeight="1">
      <c r="A72" s="204" t="s">
        <v>141</v>
      </c>
      <c r="B72" s="47" t="s">
        <v>309</v>
      </c>
      <c r="C72" s="58"/>
    </row>
    <row r="73" spans="1:3" s="205" customFormat="1" ht="12" customHeight="1">
      <c r="A73" s="204" t="s">
        <v>334</v>
      </c>
      <c r="B73" s="47" t="s">
        <v>310</v>
      </c>
      <c r="C73" s="58"/>
    </row>
    <row r="74" spans="1:3" s="205" customFormat="1" ht="12" customHeight="1" thickBot="1">
      <c r="A74" s="206" t="s">
        <v>335</v>
      </c>
      <c r="B74" s="54" t="s">
        <v>311</v>
      </c>
      <c r="C74" s="58"/>
    </row>
    <row r="75" spans="1:3" s="205" customFormat="1" ht="12" customHeight="1" thickBot="1">
      <c r="A75" s="207" t="s">
        <v>312</v>
      </c>
      <c r="B75" s="52" t="s">
        <v>313</v>
      </c>
      <c r="C75" s="41">
        <f>SUM(C76:C77)</f>
        <v>0</v>
      </c>
    </row>
    <row r="76" spans="1:3" s="205" customFormat="1" ht="12" customHeight="1">
      <c r="A76" s="202" t="s">
        <v>336</v>
      </c>
      <c r="B76" s="44" t="s">
        <v>314</v>
      </c>
      <c r="C76" s="58"/>
    </row>
    <row r="77" spans="1:3" s="205" customFormat="1" ht="12" customHeight="1" thickBot="1">
      <c r="A77" s="206" t="s">
        <v>337</v>
      </c>
      <c r="B77" s="54" t="s">
        <v>315</v>
      </c>
      <c r="C77" s="58"/>
    </row>
    <row r="78" spans="1:3" s="203" customFormat="1" ht="12" customHeight="1" thickBot="1">
      <c r="A78" s="207" t="s">
        <v>316</v>
      </c>
      <c r="B78" s="52" t="s">
        <v>317</v>
      </c>
      <c r="C78" s="41">
        <f>SUM(C79:C81)</f>
        <v>0</v>
      </c>
    </row>
    <row r="79" spans="1:3" s="205" customFormat="1" ht="12" customHeight="1">
      <c r="A79" s="202" t="s">
        <v>338</v>
      </c>
      <c r="B79" s="44" t="s">
        <v>318</v>
      </c>
      <c r="C79" s="58"/>
    </row>
    <row r="80" spans="1:3" s="205" customFormat="1" ht="12" customHeight="1">
      <c r="A80" s="204" t="s">
        <v>339</v>
      </c>
      <c r="B80" s="47" t="s">
        <v>319</v>
      </c>
      <c r="C80" s="58"/>
    </row>
    <row r="81" spans="1:3" s="205" customFormat="1" ht="12" customHeight="1" thickBot="1">
      <c r="A81" s="206" t="s">
        <v>340</v>
      </c>
      <c r="B81" s="54" t="s">
        <v>320</v>
      </c>
      <c r="C81" s="58"/>
    </row>
    <row r="82" spans="1:3" s="205" customFormat="1" ht="12" customHeight="1" thickBot="1">
      <c r="A82" s="207" t="s">
        <v>321</v>
      </c>
      <c r="B82" s="52" t="s">
        <v>341</v>
      </c>
      <c r="C82" s="41">
        <f>SUM(C83:C86)</f>
        <v>0</v>
      </c>
    </row>
    <row r="83" spans="1:3" s="205" customFormat="1" ht="12" customHeight="1">
      <c r="A83" s="209" t="s">
        <v>322</v>
      </c>
      <c r="B83" s="44" t="s">
        <v>323</v>
      </c>
      <c r="C83" s="58"/>
    </row>
    <row r="84" spans="1:3" s="205" customFormat="1" ht="12" customHeight="1">
      <c r="A84" s="210" t="s">
        <v>324</v>
      </c>
      <c r="B84" s="47" t="s">
        <v>325</v>
      </c>
      <c r="C84" s="58"/>
    </row>
    <row r="85" spans="1:3" s="205" customFormat="1" ht="12" customHeight="1">
      <c r="A85" s="210" t="s">
        <v>326</v>
      </c>
      <c r="B85" s="47" t="s">
        <v>327</v>
      </c>
      <c r="C85" s="58"/>
    </row>
    <row r="86" spans="1:3" s="203" customFormat="1" ht="12" customHeight="1" thickBot="1">
      <c r="A86" s="211" t="s">
        <v>328</v>
      </c>
      <c r="B86" s="54" t="s">
        <v>329</v>
      </c>
      <c r="C86" s="58"/>
    </row>
    <row r="87" spans="1:3" s="203" customFormat="1" ht="12" customHeight="1" thickBot="1">
      <c r="A87" s="207" t="s">
        <v>330</v>
      </c>
      <c r="B87" s="52" t="s">
        <v>471</v>
      </c>
      <c r="C87" s="67"/>
    </row>
    <row r="88" spans="1:3" s="203" customFormat="1" ht="12" customHeight="1" thickBot="1">
      <c r="A88" s="207" t="s">
        <v>499</v>
      </c>
      <c r="B88" s="52" t="s">
        <v>331</v>
      </c>
      <c r="C88" s="67"/>
    </row>
    <row r="89" spans="1:3" s="203" customFormat="1" ht="12" customHeight="1" thickBot="1">
      <c r="A89" s="207" t="s">
        <v>500</v>
      </c>
      <c r="B89" s="68" t="s">
        <v>474</v>
      </c>
      <c r="C89" s="55">
        <f>+C66+C70+C75+C78+C82+C88+C87</f>
        <v>0</v>
      </c>
    </row>
    <row r="90" spans="1:3" s="203" customFormat="1" ht="12" customHeight="1" thickBot="1">
      <c r="A90" s="212" t="s">
        <v>501</v>
      </c>
      <c r="B90" s="70" t="s">
        <v>502</v>
      </c>
      <c r="C90" s="55">
        <f>+C65+C89</f>
        <v>0</v>
      </c>
    </row>
    <row r="91" spans="1:3" s="205" customFormat="1" ht="15" customHeight="1" thickBot="1">
      <c r="A91" s="22"/>
      <c r="B91" s="23"/>
      <c r="C91" s="24"/>
    </row>
    <row r="92" spans="1:3" s="110" customFormat="1" ht="26.25" thickBot="1">
      <c r="A92" s="25"/>
      <c r="B92" s="26" t="s">
        <v>52</v>
      </c>
      <c r="C92" s="563" t="s">
        <v>692</v>
      </c>
    </row>
    <row r="93" spans="1:3" s="213" customFormat="1" ht="12" customHeight="1" thickBot="1">
      <c r="A93" s="36" t="s">
        <v>14</v>
      </c>
      <c r="B93" s="77" t="s">
        <v>630</v>
      </c>
      <c r="C93" s="78">
        <f>+C94+C95+C96+C97+C98+C111</f>
        <v>0</v>
      </c>
    </row>
    <row r="94" spans="1:3" ht="12" customHeight="1">
      <c r="A94" s="214" t="s">
        <v>93</v>
      </c>
      <c r="B94" s="15" t="s">
        <v>44</v>
      </c>
      <c r="C94" s="80"/>
    </row>
    <row r="95" spans="1:3" ht="12" customHeight="1">
      <c r="A95" s="204" t="s">
        <v>94</v>
      </c>
      <c r="B95" s="16" t="s">
        <v>172</v>
      </c>
      <c r="C95" s="48"/>
    </row>
    <row r="96" spans="1:3" ht="12" customHeight="1">
      <c r="A96" s="204" t="s">
        <v>95</v>
      </c>
      <c r="B96" s="16" t="s">
        <v>131</v>
      </c>
      <c r="C96" s="53"/>
    </row>
    <row r="97" spans="1:3" ht="12" customHeight="1">
      <c r="A97" s="204" t="s">
        <v>96</v>
      </c>
      <c r="B97" s="81" t="s">
        <v>173</v>
      </c>
      <c r="C97" s="53"/>
    </row>
    <row r="98" spans="1:3" ht="12" customHeight="1">
      <c r="A98" s="204" t="s">
        <v>107</v>
      </c>
      <c r="B98" s="82" t="s">
        <v>174</v>
      </c>
      <c r="C98" s="53"/>
    </row>
    <row r="99" spans="1:3" ht="12" customHeight="1">
      <c r="A99" s="204" t="s">
        <v>97</v>
      </c>
      <c r="B99" s="16" t="s">
        <v>503</v>
      </c>
      <c r="C99" s="53"/>
    </row>
    <row r="100" spans="1:3" ht="12" customHeight="1">
      <c r="A100" s="204" t="s">
        <v>98</v>
      </c>
      <c r="B100" s="84" t="s">
        <v>437</v>
      </c>
      <c r="C100" s="53"/>
    </row>
    <row r="101" spans="1:3" ht="12" customHeight="1">
      <c r="A101" s="204" t="s">
        <v>108</v>
      </c>
      <c r="B101" s="84" t="s">
        <v>436</v>
      </c>
      <c r="C101" s="53"/>
    </row>
    <row r="102" spans="1:3" ht="12" customHeight="1">
      <c r="A102" s="204" t="s">
        <v>109</v>
      </c>
      <c r="B102" s="84" t="s">
        <v>347</v>
      </c>
      <c r="C102" s="53"/>
    </row>
    <row r="103" spans="1:3" ht="12" customHeight="1">
      <c r="A103" s="204" t="s">
        <v>110</v>
      </c>
      <c r="B103" s="85" t="s">
        <v>348</v>
      </c>
      <c r="C103" s="53"/>
    </row>
    <row r="104" spans="1:3" ht="12" customHeight="1">
      <c r="A104" s="204" t="s">
        <v>111</v>
      </c>
      <c r="B104" s="85" t="s">
        <v>349</v>
      </c>
      <c r="C104" s="53"/>
    </row>
    <row r="105" spans="1:3" ht="12" customHeight="1">
      <c r="A105" s="204" t="s">
        <v>113</v>
      </c>
      <c r="B105" s="84" t="s">
        <v>350</v>
      </c>
      <c r="C105" s="53"/>
    </row>
    <row r="106" spans="1:3" ht="12" customHeight="1">
      <c r="A106" s="204" t="s">
        <v>175</v>
      </c>
      <c r="B106" s="84" t="s">
        <v>351</v>
      </c>
      <c r="C106" s="53"/>
    </row>
    <row r="107" spans="1:3" ht="12" customHeight="1">
      <c r="A107" s="204" t="s">
        <v>345</v>
      </c>
      <c r="B107" s="85" t="s">
        <v>352</v>
      </c>
      <c r="C107" s="53"/>
    </row>
    <row r="108" spans="1:3" ht="12" customHeight="1">
      <c r="A108" s="215" t="s">
        <v>346</v>
      </c>
      <c r="B108" s="83" t="s">
        <v>353</v>
      </c>
      <c r="C108" s="53"/>
    </row>
    <row r="109" spans="1:3" ht="12" customHeight="1">
      <c r="A109" s="204" t="s">
        <v>434</v>
      </c>
      <c r="B109" s="83" t="s">
        <v>354</v>
      </c>
      <c r="C109" s="53"/>
    </row>
    <row r="110" spans="1:3" ht="12" customHeight="1">
      <c r="A110" s="204" t="s">
        <v>435</v>
      </c>
      <c r="B110" s="85" t="s">
        <v>355</v>
      </c>
      <c r="C110" s="48"/>
    </row>
    <row r="111" spans="1:3" ht="12" customHeight="1">
      <c r="A111" s="204" t="s">
        <v>439</v>
      </c>
      <c r="B111" s="81" t="s">
        <v>45</v>
      </c>
      <c r="C111" s="48"/>
    </row>
    <row r="112" spans="1:3" ht="12" customHeight="1">
      <c r="A112" s="206" t="s">
        <v>440</v>
      </c>
      <c r="B112" s="16" t="s">
        <v>504</v>
      </c>
      <c r="C112" s="53"/>
    </row>
    <row r="113" spans="1:3" ht="12" customHeight="1" thickBot="1">
      <c r="A113" s="216" t="s">
        <v>441</v>
      </c>
      <c r="B113" s="217" t="s">
        <v>505</v>
      </c>
      <c r="C113" s="89"/>
    </row>
    <row r="114" spans="1:3" ht="12" customHeight="1" thickBot="1">
      <c r="A114" s="74" t="s">
        <v>15</v>
      </c>
      <c r="B114" s="101" t="s">
        <v>626</v>
      </c>
      <c r="C114" s="41">
        <f>+C115+C117+C119</f>
        <v>0</v>
      </c>
    </row>
    <row r="115" spans="1:3" ht="12" customHeight="1">
      <c r="A115" s="202" t="s">
        <v>99</v>
      </c>
      <c r="B115" s="16" t="s">
        <v>217</v>
      </c>
      <c r="C115" s="45"/>
    </row>
    <row r="116" spans="1:3" ht="12" customHeight="1">
      <c r="A116" s="202" t="s">
        <v>100</v>
      </c>
      <c r="B116" s="92" t="s">
        <v>359</v>
      </c>
      <c r="C116" s="45"/>
    </row>
    <row r="117" spans="1:3" ht="12" customHeight="1">
      <c r="A117" s="202" t="s">
        <v>101</v>
      </c>
      <c r="B117" s="92" t="s">
        <v>176</v>
      </c>
      <c r="C117" s="48"/>
    </row>
    <row r="118" spans="1:3" ht="12" customHeight="1">
      <c r="A118" s="202" t="s">
        <v>102</v>
      </c>
      <c r="B118" s="92" t="s">
        <v>360</v>
      </c>
      <c r="C118" s="93"/>
    </row>
    <row r="119" spans="1:3" ht="12" customHeight="1">
      <c r="A119" s="202" t="s">
        <v>103</v>
      </c>
      <c r="B119" s="51" t="s">
        <v>219</v>
      </c>
      <c r="C119" s="93"/>
    </row>
    <row r="120" spans="1:3" ht="12" customHeight="1">
      <c r="A120" s="202" t="s">
        <v>112</v>
      </c>
      <c r="B120" s="49" t="s">
        <v>422</v>
      </c>
      <c r="C120" s="93"/>
    </row>
    <row r="121" spans="1:3" ht="12" customHeight="1">
      <c r="A121" s="202" t="s">
        <v>114</v>
      </c>
      <c r="B121" s="94" t="s">
        <v>365</v>
      </c>
      <c r="C121" s="93"/>
    </row>
    <row r="122" spans="1:3" ht="12" customHeight="1">
      <c r="A122" s="202" t="s">
        <v>177</v>
      </c>
      <c r="B122" s="85" t="s">
        <v>349</v>
      </c>
      <c r="C122" s="93"/>
    </row>
    <row r="123" spans="1:3" ht="12" customHeight="1">
      <c r="A123" s="202" t="s">
        <v>178</v>
      </c>
      <c r="B123" s="85" t="s">
        <v>364</v>
      </c>
      <c r="C123" s="93"/>
    </row>
    <row r="124" spans="1:3" ht="12" customHeight="1">
      <c r="A124" s="202" t="s">
        <v>179</v>
      </c>
      <c r="B124" s="85" t="s">
        <v>363</v>
      </c>
      <c r="C124" s="93"/>
    </row>
    <row r="125" spans="1:3" ht="12" customHeight="1">
      <c r="A125" s="202" t="s">
        <v>356</v>
      </c>
      <c r="B125" s="85" t="s">
        <v>352</v>
      </c>
      <c r="C125" s="93"/>
    </row>
    <row r="126" spans="1:3" ht="12" customHeight="1">
      <c r="A126" s="202" t="s">
        <v>357</v>
      </c>
      <c r="B126" s="85" t="s">
        <v>362</v>
      </c>
      <c r="C126" s="93"/>
    </row>
    <row r="127" spans="1:3" ht="12" customHeight="1" thickBot="1">
      <c r="A127" s="215" t="s">
        <v>358</v>
      </c>
      <c r="B127" s="85" t="s">
        <v>361</v>
      </c>
      <c r="C127" s="95"/>
    </row>
    <row r="128" spans="1:3" ht="12" customHeight="1" thickBot="1">
      <c r="A128" s="74" t="s">
        <v>16</v>
      </c>
      <c r="B128" s="19" t="s">
        <v>444</v>
      </c>
      <c r="C128" s="41">
        <f>+C93+C114</f>
        <v>0</v>
      </c>
    </row>
    <row r="129" spans="1:3" ht="12" customHeight="1" thickBot="1">
      <c r="A129" s="74" t="s">
        <v>17</v>
      </c>
      <c r="B129" s="19" t="s">
        <v>445</v>
      </c>
      <c r="C129" s="41">
        <f>+C130+C131+C132</f>
        <v>0</v>
      </c>
    </row>
    <row r="130" spans="1:3" s="213" customFormat="1" ht="12" customHeight="1">
      <c r="A130" s="202" t="s">
        <v>257</v>
      </c>
      <c r="B130" s="18" t="s">
        <v>508</v>
      </c>
      <c r="C130" s="93"/>
    </row>
    <row r="131" spans="1:3" ht="12" customHeight="1">
      <c r="A131" s="202" t="s">
        <v>260</v>
      </c>
      <c r="B131" s="18" t="s">
        <v>453</v>
      </c>
      <c r="C131" s="93"/>
    </row>
    <row r="132" spans="1:3" ht="12" customHeight="1" thickBot="1">
      <c r="A132" s="215" t="s">
        <v>261</v>
      </c>
      <c r="B132" s="17" t="s">
        <v>507</v>
      </c>
      <c r="C132" s="93"/>
    </row>
    <row r="133" spans="1:3" ht="12" customHeight="1" thickBot="1">
      <c r="A133" s="74" t="s">
        <v>18</v>
      </c>
      <c r="B133" s="19" t="s">
        <v>446</v>
      </c>
      <c r="C133" s="41">
        <f>+C134+C135+C136+C137+C138+C139</f>
        <v>0</v>
      </c>
    </row>
    <row r="134" spans="1:3" ht="12" customHeight="1">
      <c r="A134" s="202" t="s">
        <v>86</v>
      </c>
      <c r="B134" s="18" t="s">
        <v>455</v>
      </c>
      <c r="C134" s="93"/>
    </row>
    <row r="135" spans="1:3" ht="12" customHeight="1">
      <c r="A135" s="202" t="s">
        <v>87</v>
      </c>
      <c r="B135" s="18" t="s">
        <v>447</v>
      </c>
      <c r="C135" s="93"/>
    </row>
    <row r="136" spans="1:3" ht="12" customHeight="1">
      <c r="A136" s="202" t="s">
        <v>88</v>
      </c>
      <c r="B136" s="18" t="s">
        <v>448</v>
      </c>
      <c r="C136" s="93"/>
    </row>
    <row r="137" spans="1:3" ht="12" customHeight="1">
      <c r="A137" s="202" t="s">
        <v>164</v>
      </c>
      <c r="B137" s="18" t="s">
        <v>506</v>
      </c>
      <c r="C137" s="93"/>
    </row>
    <row r="138" spans="1:3" ht="12" customHeight="1">
      <c r="A138" s="202" t="s">
        <v>165</v>
      </c>
      <c r="B138" s="18" t="s">
        <v>450</v>
      </c>
      <c r="C138" s="93"/>
    </row>
    <row r="139" spans="1:3" s="213" customFormat="1" ht="12" customHeight="1" thickBot="1">
      <c r="A139" s="215" t="s">
        <v>166</v>
      </c>
      <c r="B139" s="17" t="s">
        <v>451</v>
      </c>
      <c r="C139" s="93"/>
    </row>
    <row r="140" spans="1:3" ht="12" customHeight="1" thickBot="1">
      <c r="A140" s="74" t="s">
        <v>19</v>
      </c>
      <c r="B140" s="19" t="s">
        <v>532</v>
      </c>
      <c r="C140" s="55">
        <f>+C141+C142+C144+C145+C143</f>
        <v>0</v>
      </c>
    </row>
    <row r="141" spans="1:3">
      <c r="A141" s="202" t="s">
        <v>89</v>
      </c>
      <c r="B141" s="18" t="s">
        <v>366</v>
      </c>
      <c r="C141" s="93"/>
    </row>
    <row r="142" spans="1:3" ht="12" customHeight="1">
      <c r="A142" s="202" t="s">
        <v>90</v>
      </c>
      <c r="B142" s="18" t="s">
        <v>367</v>
      </c>
      <c r="C142" s="93"/>
    </row>
    <row r="143" spans="1:3" s="213" customFormat="1" ht="12" customHeight="1">
      <c r="A143" s="202" t="s">
        <v>281</v>
      </c>
      <c r="B143" s="18" t="s">
        <v>531</v>
      </c>
      <c r="C143" s="93"/>
    </row>
    <row r="144" spans="1:3" s="213" customFormat="1" ht="12" customHeight="1">
      <c r="A144" s="202" t="s">
        <v>282</v>
      </c>
      <c r="B144" s="18" t="s">
        <v>460</v>
      </c>
      <c r="C144" s="93"/>
    </row>
    <row r="145" spans="1:3" s="213" customFormat="1" ht="12" customHeight="1" thickBot="1">
      <c r="A145" s="215" t="s">
        <v>283</v>
      </c>
      <c r="B145" s="17" t="s">
        <v>386</v>
      </c>
      <c r="C145" s="93"/>
    </row>
    <row r="146" spans="1:3" s="213" customFormat="1" ht="12" customHeight="1" thickBot="1">
      <c r="A146" s="74" t="s">
        <v>20</v>
      </c>
      <c r="B146" s="19" t="s">
        <v>461</v>
      </c>
      <c r="C146" s="96">
        <f>+C147+C148+C149+C150+C151</f>
        <v>0</v>
      </c>
    </row>
    <row r="147" spans="1:3" s="213" customFormat="1" ht="12" customHeight="1">
      <c r="A147" s="202" t="s">
        <v>91</v>
      </c>
      <c r="B147" s="18" t="s">
        <v>456</v>
      </c>
      <c r="C147" s="93"/>
    </row>
    <row r="148" spans="1:3" s="213" customFormat="1" ht="12" customHeight="1">
      <c r="A148" s="202" t="s">
        <v>92</v>
      </c>
      <c r="B148" s="18" t="s">
        <v>463</v>
      </c>
      <c r="C148" s="93"/>
    </row>
    <row r="149" spans="1:3" s="213" customFormat="1" ht="12" customHeight="1">
      <c r="A149" s="202" t="s">
        <v>293</v>
      </c>
      <c r="B149" s="18" t="s">
        <v>458</v>
      </c>
      <c r="C149" s="93"/>
    </row>
    <row r="150" spans="1:3" ht="12.75" customHeight="1">
      <c r="A150" s="202" t="s">
        <v>294</v>
      </c>
      <c r="B150" s="18" t="s">
        <v>509</v>
      </c>
      <c r="C150" s="93"/>
    </row>
    <row r="151" spans="1:3" ht="12.75" customHeight="1" thickBot="1">
      <c r="A151" s="215" t="s">
        <v>462</v>
      </c>
      <c r="B151" s="17" t="s">
        <v>465</v>
      </c>
      <c r="C151" s="95"/>
    </row>
    <row r="152" spans="1:3" ht="12.75" customHeight="1" thickBot="1">
      <c r="A152" s="218" t="s">
        <v>21</v>
      </c>
      <c r="B152" s="19" t="s">
        <v>466</v>
      </c>
      <c r="C152" s="96"/>
    </row>
    <row r="153" spans="1:3" ht="12" customHeight="1" thickBot="1">
      <c r="A153" s="218" t="s">
        <v>22</v>
      </c>
      <c r="B153" s="19" t="s">
        <v>467</v>
      </c>
      <c r="C153" s="96"/>
    </row>
    <row r="154" spans="1:3" ht="15" customHeight="1" thickBot="1">
      <c r="A154" s="74" t="s">
        <v>23</v>
      </c>
      <c r="B154" s="19" t="s">
        <v>469</v>
      </c>
      <c r="C154" s="97">
        <f>+C129+C133+C140+C146+C152+C153</f>
        <v>0</v>
      </c>
    </row>
    <row r="155" spans="1:3" ht="13.5" thickBot="1">
      <c r="A155" s="219" t="s">
        <v>24</v>
      </c>
      <c r="B155" s="100" t="s">
        <v>468</v>
      </c>
      <c r="C155" s="97">
        <f>+C128+C154</f>
        <v>0</v>
      </c>
    </row>
    <row r="156" spans="1:3" ht="15" customHeight="1" thickBot="1"/>
    <row r="157" spans="1:3" ht="14.25" customHeight="1" thickBot="1">
      <c r="A157" s="30" t="s">
        <v>510</v>
      </c>
      <c r="B157" s="31"/>
      <c r="C157" s="32"/>
    </row>
    <row r="158" spans="1:3" ht="13.5" thickBot="1">
      <c r="A158" s="30" t="s">
        <v>194</v>
      </c>
      <c r="B158" s="31"/>
      <c r="C158" s="32"/>
    </row>
  </sheetData>
  <sheetProtection formatCells="0"/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96" orientation="portrait" verticalDpi="300" r:id="rId1"/>
  <headerFooter alignWithMargins="0">
    <oddFooter>&amp;P. oldal, összesen: &amp;N</oddFooter>
  </headerFooter>
  <rowBreaks count="3" manualBreakCount="3">
    <brk id="65" max="16383" man="1"/>
    <brk id="90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8"/>
  </sheetPr>
  <dimension ref="A1:C61"/>
  <sheetViews>
    <sheetView topLeftCell="B1" zoomScaleNormal="100" workbookViewId="0">
      <selection activeCell="B1" sqref="B1"/>
    </sheetView>
  </sheetViews>
  <sheetFormatPr defaultRowHeight="12.75"/>
  <cols>
    <col min="1" max="1" width="13.83203125" style="483" customWidth="1"/>
    <col min="2" max="2" width="79.1640625" style="452" customWidth="1"/>
    <col min="3" max="3" width="25" style="592" customWidth="1"/>
    <col min="4" max="16384" width="9.33203125" style="452"/>
  </cols>
  <sheetData>
    <row r="1" spans="1:3" s="442" customFormat="1" ht="21" customHeight="1" thickBot="1">
      <c r="A1" s="440"/>
      <c r="B1" s="441" t="s">
        <v>722</v>
      </c>
      <c r="C1" s="441"/>
    </row>
    <row r="2" spans="1:3" s="445" customFormat="1" ht="33" customHeight="1">
      <c r="A2" s="443" t="s">
        <v>192</v>
      </c>
      <c r="B2" s="444" t="s">
        <v>537</v>
      </c>
      <c r="C2" s="589" t="s">
        <v>54</v>
      </c>
    </row>
    <row r="3" spans="1:3" s="445" customFormat="1" ht="24.75" thickBot="1">
      <c r="A3" s="446" t="s">
        <v>191</v>
      </c>
      <c r="B3" s="447" t="s">
        <v>394</v>
      </c>
      <c r="C3" s="590" t="s">
        <v>54</v>
      </c>
    </row>
    <row r="4" spans="1:3" s="449" customFormat="1" ht="15.95" customHeight="1" thickBot="1">
      <c r="A4" s="448"/>
      <c r="B4" s="448"/>
      <c r="C4" s="591" t="s">
        <v>581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501010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/>
    </row>
    <row r="11" spans="1:3" s="459" customFormat="1" ht="12" customHeight="1">
      <c r="A11" s="462" t="s">
        <v>95</v>
      </c>
      <c r="B11" s="463" t="s">
        <v>272</v>
      </c>
      <c r="C11" s="597">
        <v>500000</v>
      </c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>
        <v>10</v>
      </c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>
        <v>1000</v>
      </c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0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/>
    </row>
    <row r="24" spans="1:3" s="465" customFormat="1" ht="12" customHeight="1" thickBot="1">
      <c r="A24" s="462" t="s">
        <v>102</v>
      </c>
      <c r="B24" s="463" t="s">
        <v>512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>
        <v>1050000</v>
      </c>
    </row>
    <row r="26" spans="1:3" s="465" customFormat="1" ht="12" customHeight="1" thickBot="1">
      <c r="A26" s="467" t="s">
        <v>17</v>
      </c>
      <c r="B26" s="468" t="s">
        <v>513</v>
      </c>
      <c r="C26" s="595">
        <f>+C27+C28+C29</f>
        <v>0</v>
      </c>
    </row>
    <row r="27" spans="1:3" s="465" customFormat="1" ht="12" customHeight="1">
      <c r="A27" s="469" t="s">
        <v>257</v>
      </c>
      <c r="B27" s="470" t="s">
        <v>252</v>
      </c>
      <c r="C27" s="601"/>
    </row>
    <row r="28" spans="1:3" s="465" customFormat="1" ht="12" customHeight="1">
      <c r="A28" s="469" t="s">
        <v>260</v>
      </c>
      <c r="B28" s="470" t="s">
        <v>398</v>
      </c>
      <c r="C28" s="597"/>
    </row>
    <row r="29" spans="1:3" s="465" customFormat="1" ht="12" customHeight="1">
      <c r="A29" s="469" t="s">
        <v>261</v>
      </c>
      <c r="B29" s="471" t="s">
        <v>401</v>
      </c>
      <c r="C29" s="597"/>
    </row>
    <row r="30" spans="1:3" s="465" customFormat="1" ht="12" customHeight="1" thickBot="1">
      <c r="A30" s="462" t="s">
        <v>262</v>
      </c>
      <c r="B30" s="472" t="s">
        <v>514</v>
      </c>
      <c r="C30" s="603"/>
    </row>
    <row r="31" spans="1:3" s="465" customFormat="1" ht="12" customHeight="1" thickBot="1">
      <c r="A31" s="467" t="s">
        <v>18</v>
      </c>
      <c r="B31" s="468" t="s">
        <v>402</v>
      </c>
      <c r="C31" s="595">
        <f>+C32+C33+C34</f>
        <v>0</v>
      </c>
    </row>
    <row r="32" spans="1:3" s="465" customFormat="1" ht="12" customHeight="1">
      <c r="A32" s="469" t="s">
        <v>86</v>
      </c>
      <c r="B32" s="470" t="s">
        <v>284</v>
      </c>
      <c r="C32" s="601"/>
    </row>
    <row r="33" spans="1:3" s="465" customFormat="1" ht="12" customHeight="1">
      <c r="A33" s="469" t="s">
        <v>87</v>
      </c>
      <c r="B33" s="471" t="s">
        <v>285</v>
      </c>
      <c r="C33" s="602"/>
    </row>
    <row r="34" spans="1:3" s="465" customFormat="1" ht="12" customHeight="1" thickBot="1">
      <c r="A34" s="462" t="s">
        <v>88</v>
      </c>
      <c r="B34" s="472" t="s">
        <v>286</v>
      </c>
      <c r="C34" s="603"/>
    </row>
    <row r="35" spans="1:3" s="459" customFormat="1" ht="12" customHeight="1" thickBot="1">
      <c r="A35" s="467" t="s">
        <v>19</v>
      </c>
      <c r="B35" s="468" t="s">
        <v>371</v>
      </c>
      <c r="C35" s="600"/>
    </row>
    <row r="36" spans="1:3" s="459" customFormat="1" ht="12" customHeight="1" thickBot="1">
      <c r="A36" s="467" t="s">
        <v>20</v>
      </c>
      <c r="B36" s="468" t="s">
        <v>403</v>
      </c>
      <c r="C36" s="604"/>
    </row>
    <row r="37" spans="1:3" s="459" customFormat="1" ht="12" customHeight="1" thickBot="1">
      <c r="A37" s="453" t="s">
        <v>21</v>
      </c>
      <c r="B37" s="468" t="s">
        <v>404</v>
      </c>
      <c r="C37" s="605">
        <f>+C8+C20+C25+C26+C31+C35+C36</f>
        <v>1551010</v>
      </c>
    </row>
    <row r="38" spans="1:3" s="459" customFormat="1" ht="12" customHeight="1" thickBot="1">
      <c r="A38" s="473" t="s">
        <v>22</v>
      </c>
      <c r="B38" s="468" t="s">
        <v>405</v>
      </c>
      <c r="C38" s="605">
        <f>+C39+C40+C41</f>
        <v>121437129</v>
      </c>
    </row>
    <row r="39" spans="1:3" s="459" customFormat="1" ht="12" customHeight="1">
      <c r="A39" s="469" t="s">
        <v>406</v>
      </c>
      <c r="B39" s="470" t="s">
        <v>226</v>
      </c>
      <c r="C39" s="601"/>
    </row>
    <row r="40" spans="1:3" s="459" customFormat="1" ht="12" customHeight="1">
      <c r="A40" s="469" t="s">
        <v>407</v>
      </c>
      <c r="B40" s="471" t="s">
        <v>0</v>
      </c>
      <c r="C40" s="602"/>
    </row>
    <row r="41" spans="1:3" s="465" customFormat="1" ht="12" customHeight="1" thickBot="1">
      <c r="A41" s="462" t="s">
        <v>408</v>
      </c>
      <c r="B41" s="472" t="s">
        <v>409</v>
      </c>
      <c r="C41" s="603">
        <v>121437129</v>
      </c>
    </row>
    <row r="42" spans="1:3" s="465" customFormat="1" ht="15" customHeight="1" thickBot="1">
      <c r="A42" s="473" t="s">
        <v>23</v>
      </c>
      <c r="B42" s="474" t="s">
        <v>410</v>
      </c>
      <c r="C42" s="606">
        <f>C37+C38</f>
        <v>122988139</v>
      </c>
    </row>
    <row r="43" spans="1:3" s="465" customFormat="1" ht="15" customHeight="1">
      <c r="A43" s="475"/>
      <c r="B43" s="476"/>
      <c r="C43" s="607"/>
    </row>
    <row r="44" spans="1:3" ht="13.5" thickBot="1">
      <c r="A44" s="477"/>
      <c r="B44" s="478"/>
      <c r="C44" s="608"/>
    </row>
    <row r="45" spans="1:3" s="455" customFormat="1" ht="16.5" customHeight="1" thickBot="1">
      <c r="A45" s="479"/>
      <c r="B45" s="480" t="s">
        <v>52</v>
      </c>
      <c r="C45" s="606"/>
    </row>
    <row r="46" spans="1:3" s="481" customFormat="1" ht="12" customHeight="1" thickBot="1">
      <c r="A46" s="467" t="s">
        <v>14</v>
      </c>
      <c r="B46" s="468" t="s">
        <v>411</v>
      </c>
      <c r="C46" s="595">
        <f>SUM(C47:C51)</f>
        <v>122162639</v>
      </c>
    </row>
    <row r="47" spans="1:3" ht="12" customHeight="1">
      <c r="A47" s="462" t="s">
        <v>93</v>
      </c>
      <c r="B47" s="466" t="s">
        <v>44</v>
      </c>
      <c r="C47" s="601">
        <v>78369300</v>
      </c>
    </row>
    <row r="48" spans="1:3" ht="12" customHeight="1">
      <c r="A48" s="462" t="s">
        <v>94</v>
      </c>
      <c r="B48" s="463" t="s">
        <v>172</v>
      </c>
      <c r="C48" s="609">
        <v>15968871</v>
      </c>
    </row>
    <row r="49" spans="1:3" ht="12" customHeight="1">
      <c r="A49" s="462" t="s">
        <v>95</v>
      </c>
      <c r="B49" s="463" t="s">
        <v>131</v>
      </c>
      <c r="C49" s="609">
        <v>27824468</v>
      </c>
    </row>
    <row r="50" spans="1:3" ht="12" customHeight="1">
      <c r="A50" s="462" t="s">
        <v>96</v>
      </c>
      <c r="B50" s="463" t="s">
        <v>173</v>
      </c>
      <c r="C50" s="609"/>
    </row>
    <row r="51" spans="1:3" ht="12" customHeight="1" thickBot="1">
      <c r="A51" s="462" t="s">
        <v>139</v>
      </c>
      <c r="B51" s="463" t="s">
        <v>174</v>
      </c>
      <c r="C51" s="609"/>
    </row>
    <row r="52" spans="1:3" ht="12" customHeight="1" thickBot="1">
      <c r="A52" s="467" t="s">
        <v>15</v>
      </c>
      <c r="B52" s="468" t="s">
        <v>412</v>
      </c>
      <c r="C52" s="595">
        <f>SUM(C53:C55)</f>
        <v>825500</v>
      </c>
    </row>
    <row r="53" spans="1:3" s="481" customFormat="1" ht="12" customHeight="1">
      <c r="A53" s="462" t="s">
        <v>99</v>
      </c>
      <c r="B53" s="466" t="s">
        <v>217</v>
      </c>
      <c r="C53" s="601">
        <v>825500</v>
      </c>
    </row>
    <row r="54" spans="1:3" ht="12" customHeight="1">
      <c r="A54" s="462" t="s">
        <v>100</v>
      </c>
      <c r="B54" s="463" t="s">
        <v>176</v>
      </c>
      <c r="C54" s="609"/>
    </row>
    <row r="55" spans="1:3" ht="12" customHeight="1">
      <c r="A55" s="462" t="s">
        <v>101</v>
      </c>
      <c r="B55" s="463" t="s">
        <v>53</v>
      </c>
      <c r="C55" s="609"/>
    </row>
    <row r="56" spans="1:3" ht="12" customHeight="1" thickBot="1">
      <c r="A56" s="462" t="s">
        <v>102</v>
      </c>
      <c r="B56" s="463" t="s">
        <v>515</v>
      </c>
      <c r="C56" s="609"/>
    </row>
    <row r="57" spans="1:3" ht="15" customHeight="1" thickBot="1">
      <c r="A57" s="467" t="s">
        <v>16</v>
      </c>
      <c r="B57" s="468" t="s">
        <v>10</v>
      </c>
      <c r="C57" s="600"/>
    </row>
    <row r="58" spans="1:3" ht="13.5" thickBot="1">
      <c r="A58" s="467" t="s">
        <v>17</v>
      </c>
      <c r="B58" s="482" t="s">
        <v>520</v>
      </c>
      <c r="C58" s="610">
        <f>+C46+C52+C57</f>
        <v>122988139</v>
      </c>
    </row>
    <row r="59" spans="1:3" ht="15" customHeight="1" thickBot="1">
      <c r="C59" s="612"/>
    </row>
    <row r="60" spans="1:3" ht="14.25" customHeight="1" thickBot="1">
      <c r="A60" s="484" t="s">
        <v>510</v>
      </c>
      <c r="B60" s="485"/>
      <c r="C60" s="613">
        <v>19</v>
      </c>
    </row>
    <row r="61" spans="1:3" ht="13.5" thickBot="1">
      <c r="A61" s="484" t="s">
        <v>194</v>
      </c>
      <c r="B61" s="485"/>
      <c r="C61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8"/>
  </sheetPr>
  <dimension ref="A1:C61"/>
  <sheetViews>
    <sheetView topLeftCell="B1" zoomScaleNormal="100" workbookViewId="0">
      <selection activeCell="B1" sqref="B1"/>
    </sheetView>
  </sheetViews>
  <sheetFormatPr defaultRowHeight="12.75"/>
  <cols>
    <col min="1" max="1" width="13.83203125" style="611" customWidth="1"/>
    <col min="2" max="2" width="79.1640625" style="592" customWidth="1"/>
    <col min="3" max="3" width="25" style="592" customWidth="1"/>
    <col min="4" max="16384" width="9.33203125" style="592"/>
  </cols>
  <sheetData>
    <row r="1" spans="1:3" s="442" customFormat="1" ht="21" customHeight="1" thickBot="1">
      <c r="A1" s="440"/>
      <c r="B1" s="441" t="s">
        <v>723</v>
      </c>
      <c r="C1" s="441"/>
    </row>
    <row r="2" spans="1:3" s="445" customFormat="1" ht="34.5" customHeight="1">
      <c r="A2" s="443" t="s">
        <v>192</v>
      </c>
      <c r="B2" s="444" t="s">
        <v>551</v>
      </c>
      <c r="C2" s="589" t="s">
        <v>54</v>
      </c>
    </row>
    <row r="3" spans="1:3" s="445" customFormat="1" ht="24.75" thickBot="1">
      <c r="A3" s="446" t="s">
        <v>191</v>
      </c>
      <c r="B3" s="447" t="s">
        <v>394</v>
      </c>
      <c r="C3" s="590" t="s">
        <v>49</v>
      </c>
    </row>
    <row r="4" spans="1:3" s="449" customFormat="1" ht="15.95" customHeight="1" thickBot="1">
      <c r="A4" s="448"/>
      <c r="B4" s="448"/>
      <c r="C4" s="591" t="s">
        <v>581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501010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/>
    </row>
    <row r="11" spans="1:3" s="459" customFormat="1" ht="12" customHeight="1">
      <c r="A11" s="462" t="s">
        <v>95</v>
      </c>
      <c r="B11" s="463" t="s">
        <v>272</v>
      </c>
      <c r="C11" s="597">
        <v>500000</v>
      </c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>
        <v>10</v>
      </c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>
        <v>1000</v>
      </c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0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/>
    </row>
    <row r="24" spans="1:3" s="465" customFormat="1" ht="12" customHeight="1" thickBot="1">
      <c r="A24" s="462" t="s">
        <v>102</v>
      </c>
      <c r="B24" s="463" t="s">
        <v>512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>
        <v>625000</v>
      </c>
    </row>
    <row r="26" spans="1:3" s="465" customFormat="1" ht="12" customHeight="1" thickBot="1">
      <c r="A26" s="467" t="s">
        <v>17</v>
      </c>
      <c r="B26" s="468" t="s">
        <v>513</v>
      </c>
      <c r="C26" s="595">
        <f>+C27+C28+C29</f>
        <v>0</v>
      </c>
    </row>
    <row r="27" spans="1:3" s="465" customFormat="1" ht="12" customHeight="1">
      <c r="A27" s="469" t="s">
        <v>257</v>
      </c>
      <c r="B27" s="470" t="s">
        <v>252</v>
      </c>
      <c r="C27" s="601"/>
    </row>
    <row r="28" spans="1:3" s="465" customFormat="1" ht="12" customHeight="1">
      <c r="A28" s="469" t="s">
        <v>260</v>
      </c>
      <c r="B28" s="470" t="s">
        <v>398</v>
      </c>
      <c r="C28" s="597"/>
    </row>
    <row r="29" spans="1:3" s="465" customFormat="1" ht="12" customHeight="1">
      <c r="A29" s="469" t="s">
        <v>261</v>
      </c>
      <c r="B29" s="471" t="s">
        <v>401</v>
      </c>
      <c r="C29" s="597"/>
    </row>
    <row r="30" spans="1:3" s="465" customFormat="1" ht="12" customHeight="1" thickBot="1">
      <c r="A30" s="462" t="s">
        <v>262</v>
      </c>
      <c r="B30" s="472" t="s">
        <v>514</v>
      </c>
      <c r="C30" s="603"/>
    </row>
    <row r="31" spans="1:3" s="465" customFormat="1" ht="12" customHeight="1" thickBot="1">
      <c r="A31" s="467" t="s">
        <v>18</v>
      </c>
      <c r="B31" s="468" t="s">
        <v>402</v>
      </c>
      <c r="C31" s="595">
        <f>+C32+C33+C34</f>
        <v>0</v>
      </c>
    </row>
    <row r="32" spans="1:3" s="465" customFormat="1" ht="12" customHeight="1">
      <c r="A32" s="469" t="s">
        <v>86</v>
      </c>
      <c r="B32" s="470" t="s">
        <v>284</v>
      </c>
      <c r="C32" s="601"/>
    </row>
    <row r="33" spans="1:3" s="465" customFormat="1" ht="12" customHeight="1">
      <c r="A33" s="469" t="s">
        <v>87</v>
      </c>
      <c r="B33" s="471" t="s">
        <v>285</v>
      </c>
      <c r="C33" s="602"/>
    </row>
    <row r="34" spans="1:3" s="465" customFormat="1" ht="12" customHeight="1" thickBot="1">
      <c r="A34" s="462" t="s">
        <v>88</v>
      </c>
      <c r="B34" s="472" t="s">
        <v>286</v>
      </c>
      <c r="C34" s="603"/>
    </row>
    <row r="35" spans="1:3" s="459" customFormat="1" ht="12" customHeight="1" thickBot="1">
      <c r="A35" s="467" t="s">
        <v>19</v>
      </c>
      <c r="B35" s="468" t="s">
        <v>371</v>
      </c>
      <c r="C35" s="600"/>
    </row>
    <row r="36" spans="1:3" s="459" customFormat="1" ht="12" customHeight="1" thickBot="1">
      <c r="A36" s="467" t="s">
        <v>20</v>
      </c>
      <c r="B36" s="468" t="s">
        <v>403</v>
      </c>
      <c r="C36" s="604"/>
    </row>
    <row r="37" spans="1:3" s="459" customFormat="1" ht="12" customHeight="1" thickBot="1">
      <c r="A37" s="453" t="s">
        <v>21</v>
      </c>
      <c r="B37" s="468" t="s">
        <v>404</v>
      </c>
      <c r="C37" s="605">
        <f>+C8+C20+C25+C26+C31+C35+C36</f>
        <v>1126010</v>
      </c>
    </row>
    <row r="38" spans="1:3" s="459" customFormat="1" ht="12" customHeight="1" thickBot="1">
      <c r="A38" s="473" t="s">
        <v>22</v>
      </c>
      <c r="B38" s="468" t="s">
        <v>405</v>
      </c>
      <c r="C38" s="605">
        <f>+C39+C40+C41</f>
        <v>73006425</v>
      </c>
    </row>
    <row r="39" spans="1:3" s="459" customFormat="1" ht="12" customHeight="1">
      <c r="A39" s="469" t="s">
        <v>406</v>
      </c>
      <c r="B39" s="470" t="s">
        <v>226</v>
      </c>
      <c r="C39" s="601"/>
    </row>
    <row r="40" spans="1:3" s="459" customFormat="1" ht="12" customHeight="1">
      <c r="A40" s="469" t="s">
        <v>407</v>
      </c>
      <c r="B40" s="471" t="s">
        <v>0</v>
      </c>
      <c r="C40" s="602"/>
    </row>
    <row r="41" spans="1:3" s="465" customFormat="1" ht="12" customHeight="1" thickBot="1">
      <c r="A41" s="462" t="s">
        <v>408</v>
      </c>
      <c r="B41" s="472" t="s">
        <v>409</v>
      </c>
      <c r="C41" s="603">
        <v>73006425</v>
      </c>
    </row>
    <row r="42" spans="1:3" s="465" customFormat="1" ht="15" customHeight="1" thickBot="1">
      <c r="A42" s="473" t="s">
        <v>23</v>
      </c>
      <c r="B42" s="474" t="s">
        <v>410</v>
      </c>
      <c r="C42" s="606">
        <f>C37+C38</f>
        <v>74132435</v>
      </c>
    </row>
    <row r="43" spans="1:3" s="465" customFormat="1" ht="15" customHeight="1">
      <c r="A43" s="475"/>
      <c r="B43" s="476"/>
      <c r="C43" s="607"/>
    </row>
    <row r="44" spans="1:3" ht="13.5" thickBot="1">
      <c r="A44" s="477"/>
      <c r="B44" s="478"/>
      <c r="C44" s="608"/>
    </row>
    <row r="45" spans="1:3" s="455" customFormat="1" ht="16.5" customHeight="1" thickBot="1">
      <c r="A45" s="479"/>
      <c r="B45" s="480" t="s">
        <v>52</v>
      </c>
      <c r="C45" s="606"/>
    </row>
    <row r="46" spans="1:3" s="481" customFormat="1" ht="12" customHeight="1" thickBot="1">
      <c r="A46" s="467" t="s">
        <v>14</v>
      </c>
      <c r="B46" s="468" t="s">
        <v>411</v>
      </c>
      <c r="C46" s="595">
        <f>SUM(C47:C51)</f>
        <v>73433935</v>
      </c>
    </row>
    <row r="47" spans="1:3" ht="12" customHeight="1">
      <c r="A47" s="462" t="s">
        <v>93</v>
      </c>
      <c r="B47" s="466" t="s">
        <v>44</v>
      </c>
      <c r="C47" s="601">
        <v>42298401</v>
      </c>
    </row>
    <row r="48" spans="1:3" ht="12" customHeight="1">
      <c r="A48" s="462" t="s">
        <v>94</v>
      </c>
      <c r="B48" s="463" t="s">
        <v>172</v>
      </c>
      <c r="C48" s="609">
        <v>8712834</v>
      </c>
    </row>
    <row r="49" spans="1:3" ht="12" customHeight="1">
      <c r="A49" s="462" t="s">
        <v>95</v>
      </c>
      <c r="B49" s="463" t="s">
        <v>131</v>
      </c>
      <c r="C49" s="609">
        <v>22422700</v>
      </c>
    </row>
    <row r="50" spans="1:3" ht="12" customHeight="1">
      <c r="A50" s="462" t="s">
        <v>96</v>
      </c>
      <c r="B50" s="463" t="s">
        <v>173</v>
      </c>
      <c r="C50" s="609"/>
    </row>
    <row r="51" spans="1:3" ht="12" customHeight="1" thickBot="1">
      <c r="A51" s="462" t="s">
        <v>139</v>
      </c>
      <c r="B51" s="463" t="s">
        <v>174</v>
      </c>
      <c r="C51" s="609"/>
    </row>
    <row r="52" spans="1:3" ht="12" customHeight="1" thickBot="1">
      <c r="A52" s="467" t="s">
        <v>15</v>
      </c>
      <c r="B52" s="468" t="s">
        <v>412</v>
      </c>
      <c r="C52" s="595">
        <f>SUM(C53:C55)</f>
        <v>698500</v>
      </c>
    </row>
    <row r="53" spans="1:3" s="481" customFormat="1" ht="12" customHeight="1">
      <c r="A53" s="462" t="s">
        <v>99</v>
      </c>
      <c r="B53" s="466" t="s">
        <v>217</v>
      </c>
      <c r="C53" s="601">
        <v>698500</v>
      </c>
    </row>
    <row r="54" spans="1:3" ht="12" customHeight="1">
      <c r="A54" s="462" t="s">
        <v>100</v>
      </c>
      <c r="B54" s="463" t="s">
        <v>176</v>
      </c>
      <c r="C54" s="609"/>
    </row>
    <row r="55" spans="1:3" ht="12" customHeight="1">
      <c r="A55" s="462" t="s">
        <v>101</v>
      </c>
      <c r="B55" s="463" t="s">
        <v>53</v>
      </c>
      <c r="C55" s="609"/>
    </row>
    <row r="56" spans="1:3" ht="12" customHeight="1" thickBot="1">
      <c r="A56" s="462" t="s">
        <v>102</v>
      </c>
      <c r="B56" s="463" t="s">
        <v>515</v>
      </c>
      <c r="C56" s="609"/>
    </row>
    <row r="57" spans="1:3" ht="12" customHeight="1" thickBot="1">
      <c r="A57" s="467" t="s">
        <v>16</v>
      </c>
      <c r="B57" s="468" t="s">
        <v>10</v>
      </c>
      <c r="C57" s="600"/>
    </row>
    <row r="58" spans="1:3" ht="15" customHeight="1" thickBot="1">
      <c r="A58" s="467" t="s">
        <v>17</v>
      </c>
      <c r="B58" s="482" t="s">
        <v>520</v>
      </c>
      <c r="C58" s="610">
        <f>+C46+C52+C57</f>
        <v>74132435</v>
      </c>
    </row>
    <row r="59" spans="1:3" ht="13.5" thickBot="1">
      <c r="C59" s="612"/>
    </row>
    <row r="60" spans="1:3" ht="15" customHeight="1" thickBot="1">
      <c r="A60" s="484" t="s">
        <v>510</v>
      </c>
      <c r="B60" s="485"/>
      <c r="C60" s="613">
        <v>11</v>
      </c>
    </row>
    <row r="61" spans="1:3" ht="14.25" customHeight="1" thickBot="1">
      <c r="A61" s="484" t="s">
        <v>194</v>
      </c>
      <c r="B61" s="485"/>
      <c r="C61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48"/>
  </sheetPr>
  <dimension ref="A1:C61"/>
  <sheetViews>
    <sheetView topLeftCell="B1" zoomScaleNormal="100" workbookViewId="0">
      <selection activeCell="B1" sqref="B1"/>
    </sheetView>
  </sheetViews>
  <sheetFormatPr defaultRowHeight="12.75"/>
  <cols>
    <col min="1" max="1" width="13.83203125" style="611" customWidth="1"/>
    <col min="2" max="2" width="79.1640625" style="592" customWidth="1"/>
    <col min="3" max="3" width="25" style="592" customWidth="1"/>
    <col min="4" max="6" width="9.33203125" style="592"/>
    <col min="7" max="7" width="10.6640625" style="592" bestFit="1" customWidth="1"/>
    <col min="8" max="16384" width="9.33203125" style="592"/>
  </cols>
  <sheetData>
    <row r="1" spans="1:3" s="442" customFormat="1" ht="21" customHeight="1" thickBot="1">
      <c r="A1" s="440"/>
      <c r="B1" s="441" t="s">
        <v>724</v>
      </c>
      <c r="C1" s="441"/>
    </row>
    <row r="2" spans="1:3" s="445" customFormat="1" ht="34.5" customHeight="1">
      <c r="A2" s="443" t="s">
        <v>192</v>
      </c>
      <c r="B2" s="444" t="s">
        <v>552</v>
      </c>
      <c r="C2" s="589" t="s">
        <v>54</v>
      </c>
    </row>
    <row r="3" spans="1:3" s="445" customFormat="1" ht="24.75" thickBot="1">
      <c r="A3" s="446" t="s">
        <v>191</v>
      </c>
      <c r="B3" s="447" t="s">
        <v>394</v>
      </c>
      <c r="C3" s="590" t="s">
        <v>49</v>
      </c>
    </row>
    <row r="4" spans="1:3" s="449" customFormat="1" ht="15.95" customHeight="1" thickBot="1">
      <c r="A4" s="448"/>
      <c r="B4" s="448"/>
      <c r="C4" s="591" t="s">
        <v>581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/>
    </row>
    <row r="11" spans="1:3" s="459" customFormat="1" ht="12" customHeight="1">
      <c r="A11" s="462" t="s">
        <v>95</v>
      </c>
      <c r="B11" s="463" t="s">
        <v>272</v>
      </c>
      <c r="C11" s="597"/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/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/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0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/>
    </row>
    <row r="24" spans="1:3" s="465" customFormat="1" ht="12" customHeight="1" thickBot="1">
      <c r="A24" s="462" t="s">
        <v>102</v>
      </c>
      <c r="B24" s="463" t="s">
        <v>512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>
        <v>425000</v>
      </c>
    </row>
    <row r="26" spans="1:3" s="465" customFormat="1" ht="12" customHeight="1" thickBot="1">
      <c r="A26" s="467" t="s">
        <v>17</v>
      </c>
      <c r="B26" s="468" t="s">
        <v>513</v>
      </c>
      <c r="C26" s="595">
        <f>+C27+C28+C29</f>
        <v>0</v>
      </c>
    </row>
    <row r="27" spans="1:3" s="465" customFormat="1" ht="12" customHeight="1">
      <c r="A27" s="469" t="s">
        <v>257</v>
      </c>
      <c r="B27" s="470" t="s">
        <v>252</v>
      </c>
      <c r="C27" s="601"/>
    </row>
    <row r="28" spans="1:3" s="465" customFormat="1" ht="12" customHeight="1">
      <c r="A28" s="469" t="s">
        <v>260</v>
      </c>
      <c r="B28" s="470" t="s">
        <v>398</v>
      </c>
      <c r="C28" s="597"/>
    </row>
    <row r="29" spans="1:3" s="465" customFormat="1" ht="12" customHeight="1">
      <c r="A29" s="469" t="s">
        <v>261</v>
      </c>
      <c r="B29" s="471" t="s">
        <v>401</v>
      </c>
      <c r="C29" s="597"/>
    </row>
    <row r="30" spans="1:3" s="465" customFormat="1" ht="12" customHeight="1" thickBot="1">
      <c r="A30" s="462" t="s">
        <v>262</v>
      </c>
      <c r="B30" s="472" t="s">
        <v>514</v>
      </c>
      <c r="C30" s="603"/>
    </row>
    <row r="31" spans="1:3" s="465" customFormat="1" ht="12" customHeight="1" thickBot="1">
      <c r="A31" s="467" t="s">
        <v>18</v>
      </c>
      <c r="B31" s="468" t="s">
        <v>402</v>
      </c>
      <c r="C31" s="595">
        <f>+C32+C33+C34</f>
        <v>0</v>
      </c>
    </row>
    <row r="32" spans="1:3" s="465" customFormat="1" ht="12" customHeight="1">
      <c r="A32" s="469" t="s">
        <v>86</v>
      </c>
      <c r="B32" s="470" t="s">
        <v>284</v>
      </c>
      <c r="C32" s="601"/>
    </row>
    <row r="33" spans="1:3" s="465" customFormat="1" ht="12" customHeight="1">
      <c r="A33" s="469" t="s">
        <v>87</v>
      </c>
      <c r="B33" s="471" t="s">
        <v>285</v>
      </c>
      <c r="C33" s="602"/>
    </row>
    <row r="34" spans="1:3" s="465" customFormat="1" ht="12" customHeight="1" thickBot="1">
      <c r="A34" s="462" t="s">
        <v>88</v>
      </c>
      <c r="B34" s="472" t="s">
        <v>286</v>
      </c>
      <c r="C34" s="603"/>
    </row>
    <row r="35" spans="1:3" s="459" customFormat="1" ht="12" customHeight="1" thickBot="1">
      <c r="A35" s="467" t="s">
        <v>19</v>
      </c>
      <c r="B35" s="468" t="s">
        <v>371</v>
      </c>
      <c r="C35" s="600"/>
    </row>
    <row r="36" spans="1:3" s="459" customFormat="1" ht="12" customHeight="1" thickBot="1">
      <c r="A36" s="467" t="s">
        <v>20</v>
      </c>
      <c r="B36" s="468" t="s">
        <v>403</v>
      </c>
      <c r="C36" s="604"/>
    </row>
    <row r="37" spans="1:3" s="459" customFormat="1" ht="12" customHeight="1" thickBot="1">
      <c r="A37" s="453" t="s">
        <v>21</v>
      </c>
      <c r="B37" s="468" t="s">
        <v>404</v>
      </c>
      <c r="C37" s="605">
        <f>+C8+C20+C25+C26+C31+C35+C36</f>
        <v>425000</v>
      </c>
    </row>
    <row r="38" spans="1:3" s="459" customFormat="1" ht="12" customHeight="1" thickBot="1">
      <c r="A38" s="473" t="s">
        <v>22</v>
      </c>
      <c r="B38" s="468" t="s">
        <v>405</v>
      </c>
      <c r="C38" s="605">
        <f>+C39+C40+C41</f>
        <v>48430704</v>
      </c>
    </row>
    <row r="39" spans="1:3" s="459" customFormat="1" ht="12" customHeight="1">
      <c r="A39" s="469" t="s">
        <v>406</v>
      </c>
      <c r="B39" s="470" t="s">
        <v>226</v>
      </c>
      <c r="C39" s="601"/>
    </row>
    <row r="40" spans="1:3" s="459" customFormat="1" ht="12" customHeight="1">
      <c r="A40" s="469" t="s">
        <v>407</v>
      </c>
      <c r="B40" s="471" t="s">
        <v>0</v>
      </c>
      <c r="C40" s="602"/>
    </row>
    <row r="41" spans="1:3" s="465" customFormat="1" ht="12" customHeight="1" thickBot="1">
      <c r="A41" s="462" t="s">
        <v>408</v>
      </c>
      <c r="B41" s="472" t="s">
        <v>409</v>
      </c>
      <c r="C41" s="603">
        <v>48430704</v>
      </c>
    </row>
    <row r="42" spans="1:3" s="465" customFormat="1" ht="15" customHeight="1" thickBot="1">
      <c r="A42" s="473" t="s">
        <v>23</v>
      </c>
      <c r="B42" s="474" t="s">
        <v>410</v>
      </c>
      <c r="C42" s="606">
        <f>+C37+C38</f>
        <v>48855704</v>
      </c>
    </row>
    <row r="43" spans="1:3" s="465" customFormat="1" ht="15" customHeight="1">
      <c r="A43" s="475"/>
      <c r="B43" s="476"/>
      <c r="C43" s="607"/>
    </row>
    <row r="44" spans="1:3" ht="13.5" thickBot="1">
      <c r="A44" s="477"/>
      <c r="B44" s="478"/>
      <c r="C44" s="608"/>
    </row>
    <row r="45" spans="1:3" s="455" customFormat="1" ht="16.5" customHeight="1" thickBot="1">
      <c r="A45" s="479"/>
      <c r="B45" s="480" t="s">
        <v>52</v>
      </c>
      <c r="C45" s="606"/>
    </row>
    <row r="46" spans="1:3" s="481" customFormat="1" ht="12" customHeight="1" thickBot="1">
      <c r="A46" s="467" t="s">
        <v>14</v>
      </c>
      <c r="B46" s="468" t="s">
        <v>411</v>
      </c>
      <c r="C46" s="595">
        <f>SUM(C47:C51)</f>
        <v>48728704</v>
      </c>
    </row>
    <row r="47" spans="1:3" ht="12" customHeight="1">
      <c r="A47" s="462" t="s">
        <v>93</v>
      </c>
      <c r="B47" s="466" t="s">
        <v>44</v>
      </c>
      <c r="C47" s="601">
        <v>36070899</v>
      </c>
    </row>
    <row r="48" spans="1:3" ht="12" customHeight="1">
      <c r="A48" s="462" t="s">
        <v>94</v>
      </c>
      <c r="B48" s="463" t="s">
        <v>172</v>
      </c>
      <c r="C48" s="609">
        <v>7256037</v>
      </c>
    </row>
    <row r="49" spans="1:3" ht="12" customHeight="1">
      <c r="A49" s="462" t="s">
        <v>95</v>
      </c>
      <c r="B49" s="463" t="s">
        <v>131</v>
      </c>
      <c r="C49" s="609">
        <v>5401768</v>
      </c>
    </row>
    <row r="50" spans="1:3" ht="12" customHeight="1">
      <c r="A50" s="462" t="s">
        <v>96</v>
      </c>
      <c r="B50" s="463" t="s">
        <v>173</v>
      </c>
      <c r="C50" s="609"/>
    </row>
    <row r="51" spans="1:3" ht="12" customHeight="1" thickBot="1">
      <c r="A51" s="462" t="s">
        <v>139</v>
      </c>
      <c r="B51" s="463" t="s">
        <v>174</v>
      </c>
      <c r="C51" s="609"/>
    </row>
    <row r="52" spans="1:3" ht="12" customHeight="1" thickBot="1">
      <c r="A52" s="467" t="s">
        <v>15</v>
      </c>
      <c r="B52" s="468" t="s">
        <v>412</v>
      </c>
      <c r="C52" s="595">
        <f>SUM(C53:C55)</f>
        <v>127000</v>
      </c>
    </row>
    <row r="53" spans="1:3" s="481" customFormat="1" ht="12" customHeight="1">
      <c r="A53" s="462" t="s">
        <v>99</v>
      </c>
      <c r="B53" s="466" t="s">
        <v>217</v>
      </c>
      <c r="C53" s="601">
        <v>127000</v>
      </c>
    </row>
    <row r="54" spans="1:3" ht="12" customHeight="1">
      <c r="A54" s="462" t="s">
        <v>100</v>
      </c>
      <c r="B54" s="463" t="s">
        <v>176</v>
      </c>
      <c r="C54" s="609"/>
    </row>
    <row r="55" spans="1:3" ht="12" customHeight="1">
      <c r="A55" s="462" t="s">
        <v>101</v>
      </c>
      <c r="B55" s="463" t="s">
        <v>53</v>
      </c>
      <c r="C55" s="609"/>
    </row>
    <row r="56" spans="1:3" ht="12" customHeight="1" thickBot="1">
      <c r="A56" s="462" t="s">
        <v>102</v>
      </c>
      <c r="B56" s="463" t="s">
        <v>515</v>
      </c>
      <c r="C56" s="609"/>
    </row>
    <row r="57" spans="1:3" ht="12" customHeight="1" thickBot="1">
      <c r="A57" s="467" t="s">
        <v>16</v>
      </c>
      <c r="B57" s="468" t="s">
        <v>10</v>
      </c>
      <c r="C57" s="600"/>
    </row>
    <row r="58" spans="1:3" ht="15" customHeight="1" thickBot="1">
      <c r="A58" s="467" t="s">
        <v>17</v>
      </c>
      <c r="B58" s="482" t="s">
        <v>520</v>
      </c>
      <c r="C58" s="610">
        <f>+C46+C52+C57</f>
        <v>48855704</v>
      </c>
    </row>
    <row r="59" spans="1:3" ht="13.5" thickBot="1">
      <c r="C59" s="612"/>
    </row>
    <row r="60" spans="1:3" ht="15" customHeight="1" thickBot="1">
      <c r="A60" s="484" t="s">
        <v>510</v>
      </c>
      <c r="B60" s="485"/>
      <c r="C60" s="613">
        <v>8</v>
      </c>
    </row>
    <row r="61" spans="1:3" ht="14.25" customHeight="1" thickBot="1">
      <c r="A61" s="484" t="s">
        <v>194</v>
      </c>
      <c r="B61" s="485"/>
      <c r="C61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FFC000"/>
  </sheetPr>
  <dimension ref="A1:D163"/>
  <sheetViews>
    <sheetView zoomScaleNormal="100" zoomScaleSheetLayoutView="100" workbookViewId="0">
      <selection activeCell="B1" sqref="B1"/>
    </sheetView>
  </sheetViews>
  <sheetFormatPr defaultRowHeight="15.75"/>
  <cols>
    <col min="1" max="1" width="7.1640625" style="33" bestFit="1" customWidth="1"/>
    <col min="2" max="2" width="76.5" style="33" bestFit="1" customWidth="1"/>
    <col min="3" max="3" width="21.33203125" style="508" customWidth="1"/>
    <col min="4" max="4" width="12.5" style="33" bestFit="1" customWidth="1"/>
    <col min="5" max="16384" width="9.33203125" style="33"/>
  </cols>
  <sheetData>
    <row r="1" spans="1:3" s="418" customFormat="1">
      <c r="B1" s="418" t="s">
        <v>715</v>
      </c>
      <c r="C1" s="747"/>
    </row>
    <row r="5" spans="1:3">
      <c r="B5" s="391" t="s">
        <v>645</v>
      </c>
    </row>
    <row r="6" spans="1:3">
      <c r="B6" s="391" t="s">
        <v>674</v>
      </c>
    </row>
    <row r="7" spans="1:3">
      <c r="B7" s="394" t="s">
        <v>646</v>
      </c>
    </row>
    <row r="10" spans="1:3">
      <c r="A10" s="778" t="s">
        <v>11</v>
      </c>
      <c r="B10" s="778"/>
      <c r="C10" s="33"/>
    </row>
    <row r="11" spans="1:3" ht="16.5" thickBot="1">
      <c r="A11" s="779" t="s">
        <v>142</v>
      </c>
      <c r="B11" s="779"/>
      <c r="C11" s="562" t="s">
        <v>581</v>
      </c>
    </row>
    <row r="12" spans="1:3" ht="24.75" thickBot="1">
      <c r="A12" s="34" t="s">
        <v>64</v>
      </c>
      <c r="B12" s="35" t="s">
        <v>13</v>
      </c>
      <c r="C12" s="693" t="s">
        <v>692</v>
      </c>
    </row>
    <row r="13" spans="1:3" s="38" customFormat="1" ht="12" thickBot="1">
      <c r="A13" s="36" t="s">
        <v>483</v>
      </c>
      <c r="B13" s="37" t="s">
        <v>484</v>
      </c>
      <c r="C13" s="646" t="s">
        <v>485</v>
      </c>
    </row>
    <row r="14" spans="1:3" s="42" customFormat="1" ht="13.5" thickBot="1">
      <c r="A14" s="39" t="s">
        <v>14</v>
      </c>
      <c r="B14" s="40" t="s">
        <v>241</v>
      </c>
      <c r="C14" s="41">
        <f>+C15+C16+C17+C18+C19+C20</f>
        <v>223966276</v>
      </c>
    </row>
    <row r="15" spans="1:3" s="42" customFormat="1" ht="12.75">
      <c r="A15" s="43" t="s">
        <v>93</v>
      </c>
      <c r="B15" s="44" t="s">
        <v>242</v>
      </c>
      <c r="C15" s="45">
        <v>118506104</v>
      </c>
    </row>
    <row r="16" spans="1:3" s="42" customFormat="1" ht="12.75">
      <c r="A16" s="46" t="s">
        <v>94</v>
      </c>
      <c r="B16" s="47" t="s">
        <v>243</v>
      </c>
      <c r="C16" s="48">
        <v>64532484</v>
      </c>
    </row>
    <row r="17" spans="1:3" s="42" customFormat="1" ht="12.75">
      <c r="A17" s="46" t="s">
        <v>95</v>
      </c>
      <c r="B17" s="47" t="s">
        <v>244</v>
      </c>
      <c r="C17" s="48">
        <v>37842188</v>
      </c>
    </row>
    <row r="18" spans="1:3" s="42" customFormat="1" ht="12.75">
      <c r="A18" s="46" t="s">
        <v>96</v>
      </c>
      <c r="B18" s="47" t="s">
        <v>245</v>
      </c>
      <c r="C18" s="48">
        <v>3085500</v>
      </c>
    </row>
    <row r="19" spans="1:3" s="42" customFormat="1" ht="12.75">
      <c r="A19" s="46" t="s">
        <v>139</v>
      </c>
      <c r="B19" s="49" t="s">
        <v>426</v>
      </c>
      <c r="C19" s="48"/>
    </row>
    <row r="20" spans="1:3" s="42" customFormat="1" ht="13.5" thickBot="1">
      <c r="A20" s="50" t="s">
        <v>97</v>
      </c>
      <c r="B20" s="51" t="s">
        <v>427</v>
      </c>
      <c r="C20" s="48"/>
    </row>
    <row r="21" spans="1:3" s="42" customFormat="1" ht="13.5" thickBot="1">
      <c r="A21" s="39" t="s">
        <v>15</v>
      </c>
      <c r="B21" s="52" t="s">
        <v>246</v>
      </c>
      <c r="C21" s="41">
        <f>+C22+C23+C24+C25+C26</f>
        <v>75745329</v>
      </c>
    </row>
    <row r="22" spans="1:3" s="42" customFormat="1" ht="12.75">
      <c r="A22" s="43" t="s">
        <v>99</v>
      </c>
      <c r="B22" s="44" t="s">
        <v>247</v>
      </c>
      <c r="C22" s="45"/>
    </row>
    <row r="23" spans="1:3" s="42" customFormat="1" ht="12.75">
      <c r="A23" s="46" t="s">
        <v>100</v>
      </c>
      <c r="B23" s="47" t="s">
        <v>248</v>
      </c>
      <c r="C23" s="48"/>
    </row>
    <row r="24" spans="1:3" s="42" customFormat="1" ht="12.75">
      <c r="A24" s="46" t="s">
        <v>101</v>
      </c>
      <c r="B24" s="47" t="s">
        <v>416</v>
      </c>
      <c r="C24" s="48"/>
    </row>
    <row r="25" spans="1:3" s="42" customFormat="1" ht="12.75">
      <c r="A25" s="46" t="s">
        <v>102</v>
      </c>
      <c r="B25" s="47" t="s">
        <v>417</v>
      </c>
      <c r="C25" s="48"/>
    </row>
    <row r="26" spans="1:3" s="42" customFormat="1" ht="12.75">
      <c r="A26" s="46" t="s">
        <v>103</v>
      </c>
      <c r="B26" s="47" t="s">
        <v>249</v>
      </c>
      <c r="C26" s="48">
        <f>75066371+678958</f>
        <v>75745329</v>
      </c>
    </row>
    <row r="27" spans="1:3" s="42" customFormat="1" ht="13.5" thickBot="1">
      <c r="A27" s="50" t="s">
        <v>112</v>
      </c>
      <c r="B27" s="51" t="s">
        <v>250</v>
      </c>
      <c r="C27" s="53"/>
    </row>
    <row r="28" spans="1:3" s="42" customFormat="1" ht="13.5" thickBot="1">
      <c r="A28" s="39" t="s">
        <v>16</v>
      </c>
      <c r="B28" s="40" t="s">
        <v>251</v>
      </c>
      <c r="C28" s="41">
        <f>+C29+C30+C31+C32+C33</f>
        <v>39844721</v>
      </c>
    </row>
    <row r="29" spans="1:3" s="42" customFormat="1" ht="12.75">
      <c r="A29" s="43" t="s">
        <v>82</v>
      </c>
      <c r="B29" s="44" t="s">
        <v>252</v>
      </c>
      <c r="C29" s="45"/>
    </row>
    <row r="30" spans="1:3" s="42" customFormat="1" ht="12.75">
      <c r="A30" s="46" t="s">
        <v>83</v>
      </c>
      <c r="B30" s="47" t="s">
        <v>253</v>
      </c>
      <c r="C30" s="48"/>
    </row>
    <row r="31" spans="1:3" s="42" customFormat="1" ht="12.75">
      <c r="A31" s="46" t="s">
        <v>84</v>
      </c>
      <c r="B31" s="47" t="s">
        <v>418</v>
      </c>
      <c r="C31" s="48"/>
    </row>
    <row r="32" spans="1:3" s="42" customFormat="1" ht="12.75">
      <c r="A32" s="46" t="s">
        <v>85</v>
      </c>
      <c r="B32" s="47" t="s">
        <v>419</v>
      </c>
      <c r="C32" s="48"/>
    </row>
    <row r="33" spans="1:3" s="42" customFormat="1" ht="12.75">
      <c r="A33" s="46" t="s">
        <v>160</v>
      </c>
      <c r="B33" s="47" t="s">
        <v>254</v>
      </c>
      <c r="C33" s="48">
        <v>39844721</v>
      </c>
    </row>
    <row r="34" spans="1:3" s="42" customFormat="1" ht="13.5" thickBot="1">
      <c r="A34" s="50" t="s">
        <v>161</v>
      </c>
      <c r="B34" s="54" t="s">
        <v>255</v>
      </c>
      <c r="C34" s="53"/>
    </row>
    <row r="35" spans="1:3" s="42" customFormat="1" ht="13.5" thickBot="1">
      <c r="A35" s="39" t="s">
        <v>162</v>
      </c>
      <c r="B35" s="40" t="s">
        <v>256</v>
      </c>
      <c r="C35" s="55">
        <f>+C36+C40+C41+C42</f>
        <v>137750000</v>
      </c>
    </row>
    <row r="36" spans="1:3" s="42" customFormat="1" ht="12.75">
      <c r="A36" s="43" t="s">
        <v>257</v>
      </c>
      <c r="B36" s="112" t="s">
        <v>433</v>
      </c>
      <c r="C36" s="56">
        <f>+C37+C38+C39</f>
        <v>100000000</v>
      </c>
    </row>
    <row r="37" spans="1:3" s="42" customFormat="1" ht="12.75">
      <c r="A37" s="46" t="s">
        <v>258</v>
      </c>
      <c r="B37" s="113" t="s">
        <v>593</v>
      </c>
      <c r="C37" s="48">
        <v>58000000</v>
      </c>
    </row>
    <row r="38" spans="1:3" s="42" customFormat="1" ht="12.75">
      <c r="A38" s="46" t="s">
        <v>259</v>
      </c>
      <c r="B38" s="113" t="s">
        <v>594</v>
      </c>
      <c r="C38" s="48"/>
    </row>
    <row r="39" spans="1:3" s="42" customFormat="1" ht="12.75">
      <c r="A39" s="46" t="s">
        <v>431</v>
      </c>
      <c r="B39" s="114" t="s">
        <v>432</v>
      </c>
      <c r="C39" s="48">
        <v>42000000</v>
      </c>
    </row>
    <row r="40" spans="1:3" s="42" customFormat="1" ht="12.75">
      <c r="A40" s="46" t="s">
        <v>260</v>
      </c>
      <c r="B40" s="113" t="s">
        <v>265</v>
      </c>
      <c r="C40" s="48">
        <v>9000000</v>
      </c>
    </row>
    <row r="41" spans="1:3" s="42" customFormat="1" ht="12.75">
      <c r="A41" s="46" t="s">
        <v>261</v>
      </c>
      <c r="B41" s="113" t="s">
        <v>575</v>
      </c>
      <c r="C41" s="48">
        <v>27500000</v>
      </c>
    </row>
    <row r="42" spans="1:3" s="42" customFormat="1" ht="13.5" thickBot="1">
      <c r="A42" s="50" t="s">
        <v>262</v>
      </c>
      <c r="B42" s="115" t="s">
        <v>267</v>
      </c>
      <c r="C42" s="53">
        <f>200000+1050000</f>
        <v>1250000</v>
      </c>
    </row>
    <row r="43" spans="1:3" s="42" customFormat="1" ht="13.5" thickBot="1">
      <c r="A43" s="39" t="s">
        <v>18</v>
      </c>
      <c r="B43" s="40" t="s">
        <v>428</v>
      </c>
      <c r="C43" s="41">
        <f>SUM(C44:C54)</f>
        <v>15235803</v>
      </c>
    </row>
    <row r="44" spans="1:3" s="42" customFormat="1" ht="12.75">
      <c r="A44" s="43" t="s">
        <v>86</v>
      </c>
      <c r="B44" s="44" t="s">
        <v>270</v>
      </c>
      <c r="C44" s="45"/>
    </row>
    <row r="45" spans="1:3" s="42" customFormat="1" ht="12.75">
      <c r="A45" s="46" t="s">
        <v>87</v>
      </c>
      <c r="B45" s="47" t="s">
        <v>271</v>
      </c>
      <c r="C45" s="48">
        <f>4214790+3149606+2120000</f>
        <v>9484396</v>
      </c>
    </row>
    <row r="46" spans="1:3" s="42" customFormat="1" ht="12.75">
      <c r="A46" s="46" t="s">
        <v>88</v>
      </c>
      <c r="B46" s="47" t="s">
        <v>272</v>
      </c>
      <c r="C46" s="48">
        <f>1650000+500000+100000</f>
        <v>2250000</v>
      </c>
    </row>
    <row r="47" spans="1:3" s="42" customFormat="1" ht="12.75">
      <c r="A47" s="46" t="s">
        <v>164</v>
      </c>
      <c r="B47" s="47" t="s">
        <v>273</v>
      </c>
      <c r="C47" s="48"/>
    </row>
    <row r="48" spans="1:3" s="42" customFormat="1" ht="12.75">
      <c r="A48" s="46" t="s">
        <v>165</v>
      </c>
      <c r="B48" s="47" t="s">
        <v>274</v>
      </c>
      <c r="C48" s="48">
        <f>1500000</f>
        <v>1500000</v>
      </c>
    </row>
    <row r="49" spans="1:3" s="42" customFormat="1" ht="12.75">
      <c r="A49" s="46" t="s">
        <v>166</v>
      </c>
      <c r="B49" s="47" t="s">
        <v>275</v>
      </c>
      <c r="C49" s="48">
        <f>1137993+850394</f>
        <v>1988387</v>
      </c>
    </row>
    <row r="50" spans="1:3" s="42" customFormat="1" ht="12.75">
      <c r="A50" s="46" t="s">
        <v>167</v>
      </c>
      <c r="B50" s="47" t="s">
        <v>276</v>
      </c>
      <c r="C50" s="48"/>
    </row>
    <row r="51" spans="1:3" s="42" customFormat="1" ht="12.75">
      <c r="A51" s="46" t="s">
        <v>168</v>
      </c>
      <c r="B51" s="47" t="s">
        <v>277</v>
      </c>
      <c r="C51" s="48">
        <f>1000+10+10</f>
        <v>1020</v>
      </c>
    </row>
    <row r="52" spans="1:3" s="42" customFormat="1" ht="12.75">
      <c r="A52" s="46" t="s">
        <v>268</v>
      </c>
      <c r="B52" s="47" t="s">
        <v>278</v>
      </c>
      <c r="C52" s="58"/>
    </row>
    <row r="53" spans="1:3" s="42" customFormat="1" ht="12.75">
      <c r="A53" s="50" t="s">
        <v>269</v>
      </c>
      <c r="B53" s="54" t="s">
        <v>430</v>
      </c>
      <c r="C53" s="59"/>
    </row>
    <row r="54" spans="1:3" s="42" customFormat="1" ht="13.5" thickBot="1">
      <c r="A54" s="50" t="s">
        <v>429</v>
      </c>
      <c r="B54" s="51" t="s">
        <v>279</v>
      </c>
      <c r="C54" s="59">
        <f>10000+1000+1000</f>
        <v>12000</v>
      </c>
    </row>
    <row r="55" spans="1:3" s="42" customFormat="1" ht="13.5" thickBot="1">
      <c r="A55" s="39" t="s">
        <v>19</v>
      </c>
      <c r="B55" s="40" t="s">
        <v>280</v>
      </c>
      <c r="C55" s="41">
        <f>SUM(C56:C60)</f>
        <v>0</v>
      </c>
    </row>
    <row r="56" spans="1:3" s="42" customFormat="1" ht="12.75">
      <c r="A56" s="43" t="s">
        <v>89</v>
      </c>
      <c r="B56" s="44" t="s">
        <v>284</v>
      </c>
      <c r="C56" s="60"/>
    </row>
    <row r="57" spans="1:3" s="42" customFormat="1" ht="12.75">
      <c r="A57" s="46" t="s">
        <v>90</v>
      </c>
      <c r="B57" s="47" t="s">
        <v>285</v>
      </c>
      <c r="C57" s="58"/>
    </row>
    <row r="58" spans="1:3" s="42" customFormat="1" ht="12.75">
      <c r="A58" s="46" t="s">
        <v>281</v>
      </c>
      <c r="B58" s="47" t="s">
        <v>286</v>
      </c>
      <c r="C58" s="58"/>
    </row>
    <row r="59" spans="1:3" s="42" customFormat="1" ht="12.75">
      <c r="A59" s="46" t="s">
        <v>282</v>
      </c>
      <c r="B59" s="47" t="s">
        <v>287</v>
      </c>
      <c r="C59" s="58"/>
    </row>
    <row r="60" spans="1:3" s="42" customFormat="1" ht="13.5" thickBot="1">
      <c r="A60" s="50" t="s">
        <v>283</v>
      </c>
      <c r="B60" s="51" t="s">
        <v>288</v>
      </c>
      <c r="C60" s="59"/>
    </row>
    <row r="61" spans="1:3" s="42" customFormat="1" ht="13.5" thickBot="1">
      <c r="A61" s="39" t="s">
        <v>169</v>
      </c>
      <c r="B61" s="40" t="s">
        <v>289</v>
      </c>
      <c r="C61" s="41">
        <f>SUM(C62:C64)</f>
        <v>505503</v>
      </c>
    </row>
    <row r="62" spans="1:3" s="42" customFormat="1" ht="12.75">
      <c r="A62" s="43" t="s">
        <v>91</v>
      </c>
      <c r="B62" s="44" t="s">
        <v>290</v>
      </c>
      <c r="C62" s="45"/>
    </row>
    <row r="63" spans="1:3" s="42" customFormat="1" ht="12.75">
      <c r="A63" s="46" t="s">
        <v>92</v>
      </c>
      <c r="B63" s="47" t="s">
        <v>420</v>
      </c>
      <c r="C63" s="48"/>
    </row>
    <row r="64" spans="1:3" s="42" customFormat="1" ht="12.75">
      <c r="A64" s="46" t="s">
        <v>293</v>
      </c>
      <c r="B64" s="47" t="s">
        <v>291</v>
      </c>
      <c r="C64" s="48">
        <v>505503</v>
      </c>
    </row>
    <row r="65" spans="1:3" s="42" customFormat="1" ht="13.5" thickBot="1">
      <c r="A65" s="50" t="s">
        <v>294</v>
      </c>
      <c r="B65" s="51" t="s">
        <v>292</v>
      </c>
      <c r="C65" s="53"/>
    </row>
    <row r="66" spans="1:3" s="42" customFormat="1" ht="13.5" thickBot="1">
      <c r="A66" s="39" t="s">
        <v>21</v>
      </c>
      <c r="B66" s="52" t="s">
        <v>295</v>
      </c>
      <c r="C66" s="41">
        <f>SUM(C67:C69)</f>
        <v>0</v>
      </c>
    </row>
    <row r="67" spans="1:3" s="42" customFormat="1" ht="12.75">
      <c r="A67" s="43" t="s">
        <v>170</v>
      </c>
      <c r="B67" s="44" t="s">
        <v>297</v>
      </c>
      <c r="C67" s="58"/>
    </row>
    <row r="68" spans="1:3" s="42" customFormat="1" ht="12.75">
      <c r="A68" s="46" t="s">
        <v>171</v>
      </c>
      <c r="B68" s="47" t="s">
        <v>421</v>
      </c>
      <c r="C68" s="58"/>
    </row>
    <row r="69" spans="1:3" s="42" customFormat="1" ht="12.75">
      <c r="A69" s="46" t="s">
        <v>218</v>
      </c>
      <c r="B69" s="47" t="s">
        <v>298</v>
      </c>
      <c r="C69" s="58"/>
    </row>
    <row r="70" spans="1:3" s="42" customFormat="1" ht="13.5" thickBot="1">
      <c r="A70" s="50" t="s">
        <v>296</v>
      </c>
      <c r="B70" s="51" t="s">
        <v>299</v>
      </c>
      <c r="C70" s="58"/>
    </row>
    <row r="71" spans="1:3" s="42" customFormat="1" ht="13.5" thickBot="1">
      <c r="A71" s="61" t="s">
        <v>472</v>
      </c>
      <c r="B71" s="40" t="s">
        <v>300</v>
      </c>
      <c r="C71" s="55">
        <f>+C14+C21+C28+C35+C43+C55+C61+C66</f>
        <v>493047632</v>
      </c>
    </row>
    <row r="72" spans="1:3" s="42" customFormat="1" ht="13.5" thickBot="1">
      <c r="A72" s="62" t="s">
        <v>301</v>
      </c>
      <c r="B72" s="52" t="s">
        <v>302</v>
      </c>
      <c r="C72" s="41">
        <f>SUM(C73:C75)</f>
        <v>0</v>
      </c>
    </row>
    <row r="73" spans="1:3" s="42" customFormat="1" ht="12.75">
      <c r="A73" s="43" t="s">
        <v>333</v>
      </c>
      <c r="B73" s="44" t="s">
        <v>303</v>
      </c>
      <c r="C73" s="58"/>
    </row>
    <row r="74" spans="1:3" s="42" customFormat="1" ht="12.75">
      <c r="A74" s="46" t="s">
        <v>342</v>
      </c>
      <c r="B74" s="47" t="s">
        <v>304</v>
      </c>
      <c r="C74" s="58"/>
    </row>
    <row r="75" spans="1:3" s="42" customFormat="1" ht="13.5" thickBot="1">
      <c r="A75" s="50" t="s">
        <v>343</v>
      </c>
      <c r="B75" s="63" t="s">
        <v>457</v>
      </c>
      <c r="C75" s="58"/>
    </row>
    <row r="76" spans="1:3" s="42" customFormat="1" ht="13.5" thickBot="1">
      <c r="A76" s="62" t="s">
        <v>306</v>
      </c>
      <c r="B76" s="52" t="s">
        <v>307</v>
      </c>
      <c r="C76" s="41">
        <f>SUM(C77:C80)</f>
        <v>0</v>
      </c>
    </row>
    <row r="77" spans="1:3" s="42" customFormat="1" ht="12.75">
      <c r="A77" s="43" t="s">
        <v>140</v>
      </c>
      <c r="B77" s="44" t="s">
        <v>308</v>
      </c>
      <c r="C77" s="58"/>
    </row>
    <row r="78" spans="1:3" s="42" customFormat="1" ht="12.75">
      <c r="A78" s="46" t="s">
        <v>141</v>
      </c>
      <c r="B78" s="47" t="s">
        <v>309</v>
      </c>
      <c r="C78" s="58"/>
    </row>
    <row r="79" spans="1:3" s="42" customFormat="1" ht="12.75">
      <c r="A79" s="46" t="s">
        <v>334</v>
      </c>
      <c r="B79" s="47" t="s">
        <v>310</v>
      </c>
      <c r="C79" s="58"/>
    </row>
    <row r="80" spans="1:3" s="42" customFormat="1" ht="13.5" thickBot="1">
      <c r="A80" s="50" t="s">
        <v>335</v>
      </c>
      <c r="B80" s="51" t="s">
        <v>311</v>
      </c>
      <c r="C80" s="58"/>
    </row>
    <row r="81" spans="1:3" s="42" customFormat="1" ht="13.5" thickBot="1">
      <c r="A81" s="62" t="s">
        <v>312</v>
      </c>
      <c r="B81" s="52" t="s">
        <v>313</v>
      </c>
      <c r="C81" s="41">
        <f>SUM(C82:C83)</f>
        <v>541000000</v>
      </c>
    </row>
    <row r="82" spans="1:3" s="42" customFormat="1" ht="12.75">
      <c r="A82" s="43" t="s">
        <v>336</v>
      </c>
      <c r="B82" s="44" t="s">
        <v>314</v>
      </c>
      <c r="C82" s="58">
        <v>541000000</v>
      </c>
    </row>
    <row r="83" spans="1:3" s="42" customFormat="1" ht="13.5" thickBot="1">
      <c r="A83" s="50" t="s">
        <v>337</v>
      </c>
      <c r="B83" s="51" t="s">
        <v>315</v>
      </c>
      <c r="C83" s="58"/>
    </row>
    <row r="84" spans="1:3" s="42" customFormat="1" ht="13.5" thickBot="1">
      <c r="A84" s="62" t="s">
        <v>316</v>
      </c>
      <c r="B84" s="52" t="s">
        <v>317</v>
      </c>
      <c r="C84" s="41">
        <f>SUM(C85:C87)</f>
        <v>0</v>
      </c>
    </row>
    <row r="85" spans="1:3" s="42" customFormat="1" ht="12.75">
      <c r="A85" s="43" t="s">
        <v>338</v>
      </c>
      <c r="B85" s="44" t="s">
        <v>318</v>
      </c>
      <c r="C85" s="58"/>
    </row>
    <row r="86" spans="1:3" s="42" customFormat="1" ht="12.75">
      <c r="A86" s="46" t="s">
        <v>339</v>
      </c>
      <c r="B86" s="47" t="s">
        <v>319</v>
      </c>
      <c r="C86" s="58"/>
    </row>
    <row r="87" spans="1:3" s="42" customFormat="1" ht="13.5" thickBot="1">
      <c r="A87" s="50" t="s">
        <v>340</v>
      </c>
      <c r="B87" s="51" t="s">
        <v>320</v>
      </c>
      <c r="C87" s="58"/>
    </row>
    <row r="88" spans="1:3" s="42" customFormat="1" ht="13.5" thickBot="1">
      <c r="A88" s="62" t="s">
        <v>321</v>
      </c>
      <c r="B88" s="52" t="s">
        <v>341</v>
      </c>
      <c r="C88" s="41">
        <f>SUM(C89:C92)</f>
        <v>0</v>
      </c>
    </row>
    <row r="89" spans="1:3" s="42" customFormat="1" ht="12.75">
      <c r="A89" s="64" t="s">
        <v>322</v>
      </c>
      <c r="B89" s="44" t="s">
        <v>323</v>
      </c>
      <c r="C89" s="58"/>
    </row>
    <row r="90" spans="1:3" s="42" customFormat="1" ht="12.75">
      <c r="A90" s="65" t="s">
        <v>324</v>
      </c>
      <c r="B90" s="47" t="s">
        <v>325</v>
      </c>
      <c r="C90" s="58"/>
    </row>
    <row r="91" spans="1:3" s="42" customFormat="1" ht="12.75">
      <c r="A91" s="65" t="s">
        <v>326</v>
      </c>
      <c r="B91" s="47" t="s">
        <v>327</v>
      </c>
      <c r="C91" s="58"/>
    </row>
    <row r="92" spans="1:3" s="42" customFormat="1" ht="13.5" thickBot="1">
      <c r="A92" s="66" t="s">
        <v>328</v>
      </c>
      <c r="B92" s="51" t="s">
        <v>329</v>
      </c>
      <c r="C92" s="58"/>
    </row>
    <row r="93" spans="1:3" s="42" customFormat="1" ht="13.5" thickBot="1">
      <c r="A93" s="62" t="s">
        <v>330</v>
      </c>
      <c r="B93" s="52" t="s">
        <v>471</v>
      </c>
      <c r="C93" s="67"/>
    </row>
    <row r="94" spans="1:3" s="42" customFormat="1" ht="13.5" thickBot="1">
      <c r="A94" s="62" t="s">
        <v>332</v>
      </c>
      <c r="B94" s="52" t="s">
        <v>331</v>
      </c>
      <c r="C94" s="67"/>
    </row>
    <row r="95" spans="1:3" s="42" customFormat="1" ht="13.5" thickBot="1">
      <c r="A95" s="62" t="s">
        <v>344</v>
      </c>
      <c r="B95" s="68" t="s">
        <v>474</v>
      </c>
      <c r="C95" s="55">
        <f>+C72+C76+C81+C84+C88+C94+C93</f>
        <v>541000000</v>
      </c>
    </row>
    <row r="96" spans="1:3" s="42" customFormat="1" ht="13.5" thickBot="1">
      <c r="A96" s="69" t="s">
        <v>473</v>
      </c>
      <c r="B96" s="70" t="s">
        <v>475</v>
      </c>
      <c r="C96" s="55">
        <f>+C71+C95</f>
        <v>1034047632</v>
      </c>
    </row>
    <row r="97" spans="1:3" s="42" customFormat="1">
      <c r="A97" s="71"/>
      <c r="B97" s="72"/>
      <c r="C97" s="647"/>
    </row>
    <row r="98" spans="1:3">
      <c r="A98" s="778" t="s">
        <v>42</v>
      </c>
      <c r="B98" s="778"/>
      <c r="C98" s="33"/>
    </row>
    <row r="99" spans="1:3" s="73" customFormat="1" ht="16.5" thickBot="1">
      <c r="A99" s="780" t="s">
        <v>143</v>
      </c>
      <c r="B99" s="780"/>
      <c r="C99" s="642"/>
    </row>
    <row r="100" spans="1:3" ht="24.75" thickBot="1">
      <c r="A100" s="34" t="s">
        <v>64</v>
      </c>
      <c r="B100" s="35" t="s">
        <v>43</v>
      </c>
      <c r="C100" s="693" t="s">
        <v>692</v>
      </c>
    </row>
    <row r="101" spans="1:3" s="38" customFormat="1" ht="12" thickBot="1">
      <c r="A101" s="74" t="s">
        <v>483</v>
      </c>
      <c r="B101" s="75" t="s">
        <v>484</v>
      </c>
      <c r="C101" s="648" t="s">
        <v>485</v>
      </c>
    </row>
    <row r="102" spans="1:3" ht="16.5" thickBot="1">
      <c r="A102" s="76" t="s">
        <v>14</v>
      </c>
      <c r="B102" s="77" t="s">
        <v>625</v>
      </c>
      <c r="C102" s="78">
        <f>C103+C104+C105+C106+C107+C120</f>
        <v>652688651</v>
      </c>
    </row>
    <row r="103" spans="1:3">
      <c r="A103" s="79" t="s">
        <v>93</v>
      </c>
      <c r="B103" s="15" t="s">
        <v>44</v>
      </c>
      <c r="C103" s="80">
        <f>81039317-'1.3.sz.mell.'!C99+78369300+21392976</f>
        <v>167047193</v>
      </c>
    </row>
    <row r="104" spans="1:3">
      <c r="A104" s="46" t="s">
        <v>94</v>
      </c>
      <c r="B104" s="16" t="s">
        <v>172</v>
      </c>
      <c r="C104" s="48">
        <f>17133121-'1.3.sz.mell.'!C100+15968871+4668631</f>
        <v>34939079</v>
      </c>
    </row>
    <row r="105" spans="1:3">
      <c r="A105" s="46" t="s">
        <v>95</v>
      </c>
      <c r="B105" s="16" t="s">
        <v>131</v>
      </c>
      <c r="C105" s="749">
        <f>263854593-'1.3.sz.mell.'!C101+27824468+29148920</f>
        <v>236690796</v>
      </c>
    </row>
    <row r="106" spans="1:3">
      <c r="A106" s="46" t="s">
        <v>96</v>
      </c>
      <c r="B106" s="81" t="s">
        <v>173</v>
      </c>
      <c r="C106" s="53">
        <f>7330000</f>
        <v>7330000</v>
      </c>
    </row>
    <row r="107" spans="1:3">
      <c r="A107" s="46" t="s">
        <v>107</v>
      </c>
      <c r="B107" s="82" t="s">
        <v>174</v>
      </c>
      <c r="C107" s="53">
        <f>C108+C109+C110+C111+C112+C113+C114+C115+C116+C117+C118+C119</f>
        <v>173511355</v>
      </c>
    </row>
    <row r="108" spans="1:3">
      <c r="A108" s="46" t="s">
        <v>97</v>
      </c>
      <c r="B108" s="16" t="s">
        <v>438</v>
      </c>
      <c r="C108" s="53"/>
    </row>
    <row r="109" spans="1:3">
      <c r="A109" s="46" t="s">
        <v>98</v>
      </c>
      <c r="B109" s="83" t="s">
        <v>437</v>
      </c>
      <c r="C109" s="53"/>
    </row>
    <row r="110" spans="1:3">
      <c r="A110" s="46" t="s">
        <v>108</v>
      </c>
      <c r="B110" s="83" t="s">
        <v>436</v>
      </c>
      <c r="C110" s="53">
        <v>1505503</v>
      </c>
    </row>
    <row r="111" spans="1:3">
      <c r="A111" s="46" t="s">
        <v>109</v>
      </c>
      <c r="B111" s="84" t="s">
        <v>347</v>
      </c>
      <c r="C111" s="53"/>
    </row>
    <row r="112" spans="1:3">
      <c r="A112" s="46" t="s">
        <v>110</v>
      </c>
      <c r="B112" s="85" t="s">
        <v>348</v>
      </c>
      <c r="C112" s="53"/>
    </row>
    <row r="113" spans="1:4">
      <c r="A113" s="46" t="s">
        <v>111</v>
      </c>
      <c r="B113" s="85" t="s">
        <v>349</v>
      </c>
      <c r="C113" s="53"/>
    </row>
    <row r="114" spans="1:4">
      <c r="A114" s="46" t="s">
        <v>113</v>
      </c>
      <c r="B114" s="84" t="s">
        <v>350</v>
      </c>
      <c r="C114" s="53">
        <v>129940852</v>
      </c>
    </row>
    <row r="115" spans="1:4">
      <c r="A115" s="46" t="s">
        <v>175</v>
      </c>
      <c r="B115" s="84" t="s">
        <v>351</v>
      </c>
      <c r="C115" s="53"/>
    </row>
    <row r="116" spans="1:4">
      <c r="A116" s="46" t="s">
        <v>345</v>
      </c>
      <c r="B116" s="85" t="s">
        <v>352</v>
      </c>
      <c r="C116" s="53"/>
    </row>
    <row r="117" spans="1:4">
      <c r="A117" s="86" t="s">
        <v>346</v>
      </c>
      <c r="B117" s="83" t="s">
        <v>353</v>
      </c>
      <c r="C117" s="53"/>
    </row>
    <row r="118" spans="1:4">
      <c r="A118" s="46" t="s">
        <v>434</v>
      </c>
      <c r="B118" s="83" t="s">
        <v>354</v>
      </c>
      <c r="C118" s="53"/>
    </row>
    <row r="119" spans="1:4">
      <c r="A119" s="50" t="s">
        <v>435</v>
      </c>
      <c r="B119" s="83" t="s">
        <v>355</v>
      </c>
      <c r="C119" s="53">
        <f>42065000</f>
        <v>42065000</v>
      </c>
    </row>
    <row r="120" spans="1:4">
      <c r="A120" s="46" t="s">
        <v>439</v>
      </c>
      <c r="B120" s="81" t="s">
        <v>45</v>
      </c>
      <c r="C120" s="48">
        <f>C121+C122</f>
        <v>33170228</v>
      </c>
    </row>
    <row r="121" spans="1:4">
      <c r="A121" s="46" t="s">
        <v>440</v>
      </c>
      <c r="B121" s="16" t="s">
        <v>442</v>
      </c>
      <c r="C121" s="48">
        <v>4078482</v>
      </c>
    </row>
    <row r="122" spans="1:4" ht="16.5" thickBot="1">
      <c r="A122" s="87" t="s">
        <v>441</v>
      </c>
      <c r="B122" s="88" t="s">
        <v>443</v>
      </c>
      <c r="C122" s="89">
        <f>29091746</f>
        <v>29091746</v>
      </c>
    </row>
    <row r="123" spans="1:4" ht="16.5" thickBot="1">
      <c r="A123" s="90" t="s">
        <v>15</v>
      </c>
      <c r="B123" s="91" t="s">
        <v>626</v>
      </c>
      <c r="C123" s="649">
        <f>+C124+C126+C128</f>
        <v>373251261</v>
      </c>
    </row>
    <row r="124" spans="1:4">
      <c r="A124" s="43" t="s">
        <v>99</v>
      </c>
      <c r="B124" s="16" t="s">
        <v>217</v>
      </c>
      <c r="C124" s="45">
        <f>304198564-'1.3.sz.mell.'!C120+825500+2513000</f>
        <v>289439564</v>
      </c>
      <c r="D124" s="422"/>
    </row>
    <row r="125" spans="1:4">
      <c r="A125" s="43" t="s">
        <v>100</v>
      </c>
      <c r="B125" s="92" t="s">
        <v>359</v>
      </c>
      <c r="C125" s="45"/>
    </row>
    <row r="126" spans="1:4">
      <c r="A126" s="43" t="s">
        <v>101</v>
      </c>
      <c r="B126" s="92" t="s">
        <v>176</v>
      </c>
      <c r="C126" s="48">
        <f>89587897-'1.3.sz.mell.'!C122</f>
        <v>83161697</v>
      </c>
    </row>
    <row r="127" spans="1:4">
      <c r="A127" s="43" t="s">
        <v>102</v>
      </c>
      <c r="B127" s="92" t="s">
        <v>360</v>
      </c>
      <c r="C127" s="93"/>
    </row>
    <row r="128" spans="1:4">
      <c r="A128" s="43" t="s">
        <v>103</v>
      </c>
      <c r="B128" s="51" t="s">
        <v>219</v>
      </c>
      <c r="C128" s="93">
        <f>C129+C130+C131+C132+C133+C134+C135+C136</f>
        <v>650000</v>
      </c>
    </row>
    <row r="129" spans="1:3">
      <c r="A129" s="43" t="s">
        <v>112</v>
      </c>
      <c r="B129" s="49" t="s">
        <v>422</v>
      </c>
      <c r="C129" s="93"/>
    </row>
    <row r="130" spans="1:3">
      <c r="A130" s="43" t="s">
        <v>114</v>
      </c>
      <c r="B130" s="94" t="s">
        <v>365</v>
      </c>
      <c r="C130" s="93"/>
    </row>
    <row r="131" spans="1:3">
      <c r="A131" s="43" t="s">
        <v>177</v>
      </c>
      <c r="B131" s="85" t="s">
        <v>349</v>
      </c>
      <c r="C131" s="93"/>
    </row>
    <row r="132" spans="1:3">
      <c r="A132" s="43" t="s">
        <v>178</v>
      </c>
      <c r="B132" s="85" t="s">
        <v>364</v>
      </c>
      <c r="C132" s="93"/>
    </row>
    <row r="133" spans="1:3">
      <c r="A133" s="43" t="s">
        <v>179</v>
      </c>
      <c r="B133" s="85" t="s">
        <v>363</v>
      </c>
      <c r="C133" s="93"/>
    </row>
    <row r="134" spans="1:3">
      <c r="A134" s="43" t="s">
        <v>356</v>
      </c>
      <c r="B134" s="85" t="s">
        <v>352</v>
      </c>
      <c r="C134" s="93"/>
    </row>
    <row r="135" spans="1:3">
      <c r="A135" s="43" t="s">
        <v>357</v>
      </c>
      <c r="B135" s="85" t="s">
        <v>362</v>
      </c>
      <c r="C135" s="93"/>
    </row>
    <row r="136" spans="1:3" ht="16.5" thickBot="1">
      <c r="A136" s="86" t="s">
        <v>358</v>
      </c>
      <c r="B136" s="85" t="s">
        <v>361</v>
      </c>
      <c r="C136" s="95">
        <v>650000</v>
      </c>
    </row>
    <row r="137" spans="1:3" ht="16.5" thickBot="1">
      <c r="A137" s="39" t="s">
        <v>16</v>
      </c>
      <c r="B137" s="19" t="s">
        <v>444</v>
      </c>
      <c r="C137" s="41">
        <f>+C102+C123</f>
        <v>1025939912</v>
      </c>
    </row>
    <row r="138" spans="1:3" ht="16.5" thickBot="1">
      <c r="A138" s="39" t="s">
        <v>17</v>
      </c>
      <c r="B138" s="19" t="s">
        <v>445</v>
      </c>
      <c r="C138" s="41">
        <f>+C139+C140+C141</f>
        <v>0</v>
      </c>
    </row>
    <row r="139" spans="1:3">
      <c r="A139" s="43" t="s">
        <v>257</v>
      </c>
      <c r="B139" s="92" t="s">
        <v>452</v>
      </c>
      <c r="C139" s="93"/>
    </row>
    <row r="140" spans="1:3">
      <c r="A140" s="43" t="s">
        <v>260</v>
      </c>
      <c r="B140" s="92" t="s">
        <v>453</v>
      </c>
      <c r="C140" s="93"/>
    </row>
    <row r="141" spans="1:3" ht="16.5" thickBot="1">
      <c r="A141" s="86" t="s">
        <v>261</v>
      </c>
      <c r="B141" s="92" t="s">
        <v>454</v>
      </c>
      <c r="C141" s="93"/>
    </row>
    <row r="142" spans="1:3" ht="16.5" thickBot="1">
      <c r="A142" s="39" t="s">
        <v>18</v>
      </c>
      <c r="B142" s="19" t="s">
        <v>446</v>
      </c>
      <c r="C142" s="41">
        <f>SUM(C143:C148)</f>
        <v>0</v>
      </c>
    </row>
    <row r="143" spans="1:3">
      <c r="A143" s="43" t="s">
        <v>86</v>
      </c>
      <c r="B143" s="18" t="s">
        <v>455</v>
      </c>
      <c r="C143" s="93"/>
    </row>
    <row r="144" spans="1:3">
      <c r="A144" s="43" t="s">
        <v>87</v>
      </c>
      <c r="B144" s="18" t="s">
        <v>447</v>
      </c>
      <c r="C144" s="93"/>
    </row>
    <row r="145" spans="1:3">
      <c r="A145" s="43" t="s">
        <v>88</v>
      </c>
      <c r="B145" s="18" t="s">
        <v>448</v>
      </c>
      <c r="C145" s="93"/>
    </row>
    <row r="146" spans="1:3">
      <c r="A146" s="43" t="s">
        <v>164</v>
      </c>
      <c r="B146" s="18" t="s">
        <v>449</v>
      </c>
      <c r="C146" s="93"/>
    </row>
    <row r="147" spans="1:3">
      <c r="A147" s="43" t="s">
        <v>165</v>
      </c>
      <c r="B147" s="18" t="s">
        <v>450</v>
      </c>
      <c r="C147" s="93"/>
    </row>
    <row r="148" spans="1:3" ht="16.5" thickBot="1">
      <c r="A148" s="86" t="s">
        <v>166</v>
      </c>
      <c r="B148" s="18" t="s">
        <v>451</v>
      </c>
      <c r="C148" s="93"/>
    </row>
    <row r="149" spans="1:3" ht="16.5" thickBot="1">
      <c r="A149" s="39" t="s">
        <v>19</v>
      </c>
      <c r="B149" s="19" t="s">
        <v>459</v>
      </c>
      <c r="C149" s="55">
        <f>+C150+C151+C152+C153</f>
        <v>8107720</v>
      </c>
    </row>
    <row r="150" spans="1:3">
      <c r="A150" s="43" t="s">
        <v>89</v>
      </c>
      <c r="B150" s="18" t="s">
        <v>366</v>
      </c>
      <c r="C150" s="93"/>
    </row>
    <row r="151" spans="1:3">
      <c r="A151" s="43" t="s">
        <v>90</v>
      </c>
      <c r="B151" s="18" t="s">
        <v>367</v>
      </c>
      <c r="C151" s="93">
        <f>8107720</f>
        <v>8107720</v>
      </c>
    </row>
    <row r="152" spans="1:3">
      <c r="A152" s="43" t="s">
        <v>281</v>
      </c>
      <c r="B152" s="18" t="s">
        <v>460</v>
      </c>
      <c r="C152" s="93"/>
    </row>
    <row r="153" spans="1:3" ht="16.5" thickBot="1">
      <c r="A153" s="86" t="s">
        <v>282</v>
      </c>
      <c r="B153" s="17" t="s">
        <v>386</v>
      </c>
      <c r="C153" s="93"/>
    </row>
    <row r="154" spans="1:3" ht="16.5" thickBot="1">
      <c r="A154" s="39" t="s">
        <v>20</v>
      </c>
      <c r="B154" s="19" t="s">
        <v>461</v>
      </c>
      <c r="C154" s="96">
        <f>SUM(C155:C159)</f>
        <v>0</v>
      </c>
    </row>
    <row r="155" spans="1:3">
      <c r="A155" s="43" t="s">
        <v>91</v>
      </c>
      <c r="B155" s="18" t="s">
        <v>456</v>
      </c>
      <c r="C155" s="93"/>
    </row>
    <row r="156" spans="1:3">
      <c r="A156" s="43" t="s">
        <v>92</v>
      </c>
      <c r="B156" s="18" t="s">
        <v>463</v>
      </c>
      <c r="C156" s="93"/>
    </row>
    <row r="157" spans="1:3">
      <c r="A157" s="43" t="s">
        <v>293</v>
      </c>
      <c r="B157" s="18" t="s">
        <v>458</v>
      </c>
      <c r="C157" s="93"/>
    </row>
    <row r="158" spans="1:3">
      <c r="A158" s="43" t="s">
        <v>294</v>
      </c>
      <c r="B158" s="18" t="s">
        <v>464</v>
      </c>
      <c r="C158" s="93"/>
    </row>
    <row r="159" spans="1:3" ht="16.5" thickBot="1">
      <c r="A159" s="43" t="s">
        <v>462</v>
      </c>
      <c r="B159" s="18" t="s">
        <v>465</v>
      </c>
      <c r="C159" s="93"/>
    </row>
    <row r="160" spans="1:3" ht="16.5" thickBot="1">
      <c r="A160" s="39" t="s">
        <v>21</v>
      </c>
      <c r="B160" s="19" t="s">
        <v>466</v>
      </c>
      <c r="C160" s="650"/>
    </row>
    <row r="161" spans="1:3" ht="16.5" thickBot="1">
      <c r="A161" s="39" t="s">
        <v>22</v>
      </c>
      <c r="B161" s="19" t="s">
        <v>541</v>
      </c>
      <c r="C161" s="650"/>
    </row>
    <row r="162" spans="1:3" ht="16.5" thickBot="1">
      <c r="A162" s="39" t="s">
        <v>23</v>
      </c>
      <c r="B162" s="19" t="s">
        <v>469</v>
      </c>
      <c r="C162" s="97">
        <f>+C138+C142+C149+C154+C160+C161</f>
        <v>8107720</v>
      </c>
    </row>
    <row r="163" spans="1:3" s="42" customFormat="1" ht="13.5" thickBot="1">
      <c r="A163" s="99" t="s">
        <v>24</v>
      </c>
      <c r="B163" s="100" t="s">
        <v>468</v>
      </c>
      <c r="C163" s="97">
        <f>+C137+C162</f>
        <v>1034047632</v>
      </c>
    </row>
  </sheetData>
  <mergeCells count="4">
    <mergeCell ref="A10:B10"/>
    <mergeCell ref="A11:B11"/>
    <mergeCell ref="A98:B98"/>
    <mergeCell ref="A99:B99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3" orientation="portrait" r:id="rId1"/>
  <headerFooter alignWithMargins="0">
    <oddHeader>&amp;R&amp;"Times New Roman CE,Félkövér dőlt"&amp;11 1.1. melléklet a ........./2019. () önkormányzati rendelethez</oddHeader>
    <oddFooter>&amp;P. oldal, összesen: &amp;N</oddFooter>
  </headerFooter>
  <rowBreaks count="2" manualBreakCount="2">
    <brk id="71" max="8" man="1"/>
    <brk id="97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48"/>
  </sheetPr>
  <dimension ref="A1:C61"/>
  <sheetViews>
    <sheetView zoomScaleNormal="100" workbookViewId="0">
      <selection activeCell="B1" sqref="B1"/>
    </sheetView>
  </sheetViews>
  <sheetFormatPr defaultRowHeight="12.75"/>
  <cols>
    <col min="1" max="1" width="13.83203125" style="611" customWidth="1"/>
    <col min="2" max="2" width="79.1640625" style="592" customWidth="1"/>
    <col min="3" max="3" width="25" style="592" customWidth="1"/>
    <col min="4" max="16384" width="9.33203125" style="592"/>
  </cols>
  <sheetData>
    <row r="1" spans="1:3" s="442" customFormat="1" ht="21" customHeight="1" thickBot="1">
      <c r="A1" s="440"/>
      <c r="B1" s="441" t="s">
        <v>725</v>
      </c>
      <c r="C1" s="441"/>
    </row>
    <row r="2" spans="1:3" s="445" customFormat="1" ht="33" customHeight="1">
      <c r="A2" s="443" t="s">
        <v>192</v>
      </c>
      <c r="B2" s="444" t="s">
        <v>537</v>
      </c>
      <c r="C2" s="589" t="s">
        <v>54</v>
      </c>
    </row>
    <row r="3" spans="1:3" s="445" customFormat="1" ht="24.75" thickBot="1">
      <c r="A3" s="446" t="s">
        <v>191</v>
      </c>
      <c r="B3" s="447" t="s">
        <v>413</v>
      </c>
      <c r="C3" s="590" t="s">
        <v>54</v>
      </c>
    </row>
    <row r="4" spans="1:3" s="449" customFormat="1" ht="15.95" customHeight="1" thickBot="1">
      <c r="A4" s="448"/>
      <c r="B4" s="448"/>
      <c r="C4" s="591" t="s">
        <v>581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501010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/>
    </row>
    <row r="11" spans="1:3" s="459" customFormat="1" ht="12" customHeight="1">
      <c r="A11" s="462" t="s">
        <v>95</v>
      </c>
      <c r="B11" s="463" t="s">
        <v>272</v>
      </c>
      <c r="C11" s="597">
        <v>500000</v>
      </c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>
        <v>10</v>
      </c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>
        <v>1000</v>
      </c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0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/>
    </row>
    <row r="24" spans="1:3" s="465" customFormat="1" ht="12" customHeight="1" thickBot="1">
      <c r="A24" s="462" t="s">
        <v>102</v>
      </c>
      <c r="B24" s="463" t="s">
        <v>512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>
        <v>1050000</v>
      </c>
    </row>
    <row r="26" spans="1:3" s="465" customFormat="1" ht="12" customHeight="1" thickBot="1">
      <c r="A26" s="467" t="s">
        <v>17</v>
      </c>
      <c r="B26" s="468" t="s">
        <v>513</v>
      </c>
      <c r="C26" s="595">
        <f>+C27+C28+C29</f>
        <v>0</v>
      </c>
    </row>
    <row r="27" spans="1:3" s="465" customFormat="1" ht="12" customHeight="1">
      <c r="A27" s="469" t="s">
        <v>257</v>
      </c>
      <c r="B27" s="470" t="s">
        <v>252</v>
      </c>
      <c r="C27" s="601"/>
    </row>
    <row r="28" spans="1:3" s="465" customFormat="1" ht="12" customHeight="1">
      <c r="A28" s="469" t="s">
        <v>260</v>
      </c>
      <c r="B28" s="470" t="s">
        <v>398</v>
      </c>
      <c r="C28" s="597"/>
    </row>
    <row r="29" spans="1:3" s="465" customFormat="1" ht="12" customHeight="1">
      <c r="A29" s="469" t="s">
        <v>261</v>
      </c>
      <c r="B29" s="471" t="s">
        <v>401</v>
      </c>
      <c r="C29" s="597"/>
    </row>
    <row r="30" spans="1:3" s="465" customFormat="1" ht="12" customHeight="1" thickBot="1">
      <c r="A30" s="462" t="s">
        <v>262</v>
      </c>
      <c r="B30" s="472" t="s">
        <v>514</v>
      </c>
      <c r="C30" s="603"/>
    </row>
    <row r="31" spans="1:3" s="465" customFormat="1" ht="12" customHeight="1" thickBot="1">
      <c r="A31" s="467" t="s">
        <v>18</v>
      </c>
      <c r="B31" s="468" t="s">
        <v>402</v>
      </c>
      <c r="C31" s="595">
        <f>+C32+C33+C34</f>
        <v>0</v>
      </c>
    </row>
    <row r="32" spans="1:3" s="465" customFormat="1" ht="12" customHeight="1">
      <c r="A32" s="469" t="s">
        <v>86</v>
      </c>
      <c r="B32" s="470" t="s">
        <v>284</v>
      </c>
      <c r="C32" s="601"/>
    </row>
    <row r="33" spans="1:3" s="465" customFormat="1" ht="12" customHeight="1">
      <c r="A33" s="469" t="s">
        <v>87</v>
      </c>
      <c r="B33" s="471" t="s">
        <v>285</v>
      </c>
      <c r="C33" s="602"/>
    </row>
    <row r="34" spans="1:3" s="465" customFormat="1" ht="12" customHeight="1" thickBot="1">
      <c r="A34" s="462" t="s">
        <v>88</v>
      </c>
      <c r="B34" s="472" t="s">
        <v>286</v>
      </c>
      <c r="C34" s="603"/>
    </row>
    <row r="35" spans="1:3" s="459" customFormat="1" ht="12" customHeight="1" thickBot="1">
      <c r="A35" s="467" t="s">
        <v>19</v>
      </c>
      <c r="B35" s="468" t="s">
        <v>371</v>
      </c>
      <c r="C35" s="600"/>
    </row>
    <row r="36" spans="1:3" s="459" customFormat="1" ht="12" customHeight="1" thickBot="1">
      <c r="A36" s="467" t="s">
        <v>20</v>
      </c>
      <c r="B36" s="468" t="s">
        <v>403</v>
      </c>
      <c r="C36" s="604"/>
    </row>
    <row r="37" spans="1:3" s="459" customFormat="1" ht="12" customHeight="1" thickBot="1">
      <c r="A37" s="453" t="s">
        <v>21</v>
      </c>
      <c r="B37" s="468" t="s">
        <v>404</v>
      </c>
      <c r="C37" s="605">
        <f>+C8+C20+C25+C26+C31+C35+C36</f>
        <v>1551010</v>
      </c>
    </row>
    <row r="38" spans="1:3" s="459" customFormat="1" ht="12" customHeight="1" thickBot="1">
      <c r="A38" s="473" t="s">
        <v>22</v>
      </c>
      <c r="B38" s="468" t="s">
        <v>405</v>
      </c>
      <c r="C38" s="605">
        <f>+C39+C40+C41</f>
        <v>121437129</v>
      </c>
    </row>
    <row r="39" spans="1:3" s="459" customFormat="1" ht="12" customHeight="1">
      <c r="A39" s="469" t="s">
        <v>406</v>
      </c>
      <c r="B39" s="470" t="s">
        <v>226</v>
      </c>
      <c r="C39" s="601"/>
    </row>
    <row r="40" spans="1:3" s="459" customFormat="1" ht="12" customHeight="1">
      <c r="A40" s="469" t="s">
        <v>407</v>
      </c>
      <c r="B40" s="471" t="s">
        <v>0</v>
      </c>
      <c r="C40" s="602"/>
    </row>
    <row r="41" spans="1:3" s="465" customFormat="1" ht="12" customHeight="1" thickBot="1">
      <c r="A41" s="462" t="s">
        <v>408</v>
      </c>
      <c r="B41" s="472" t="s">
        <v>409</v>
      </c>
      <c r="C41" s="603">
        <v>121437129</v>
      </c>
    </row>
    <row r="42" spans="1:3" s="465" customFormat="1" ht="15" customHeight="1" thickBot="1">
      <c r="A42" s="473" t="s">
        <v>23</v>
      </c>
      <c r="B42" s="474" t="s">
        <v>410</v>
      </c>
      <c r="C42" s="606">
        <f>C37+C38</f>
        <v>122988139</v>
      </c>
    </row>
    <row r="43" spans="1:3" s="465" customFormat="1" ht="15" customHeight="1">
      <c r="A43" s="475"/>
      <c r="B43" s="476"/>
      <c r="C43" s="607"/>
    </row>
    <row r="44" spans="1:3" ht="13.5" thickBot="1">
      <c r="A44" s="477"/>
      <c r="B44" s="478"/>
      <c r="C44" s="608"/>
    </row>
    <row r="45" spans="1:3" s="455" customFormat="1" ht="16.5" customHeight="1" thickBot="1">
      <c r="A45" s="479"/>
      <c r="B45" s="480" t="s">
        <v>52</v>
      </c>
      <c r="C45" s="606"/>
    </row>
    <row r="46" spans="1:3" s="481" customFormat="1" ht="12" customHeight="1" thickBot="1">
      <c r="A46" s="467" t="s">
        <v>14</v>
      </c>
      <c r="B46" s="468" t="s">
        <v>411</v>
      </c>
      <c r="C46" s="595">
        <f>SUM(C47:C51)</f>
        <v>122162639</v>
      </c>
    </row>
    <row r="47" spans="1:3" ht="12" customHeight="1">
      <c r="A47" s="462" t="s">
        <v>93</v>
      </c>
      <c r="B47" s="466" t="s">
        <v>44</v>
      </c>
      <c r="C47" s="601">
        <v>78369300</v>
      </c>
    </row>
    <row r="48" spans="1:3" ht="12" customHeight="1">
      <c r="A48" s="462" t="s">
        <v>94</v>
      </c>
      <c r="B48" s="463" t="s">
        <v>172</v>
      </c>
      <c r="C48" s="609">
        <v>15968871</v>
      </c>
    </row>
    <row r="49" spans="1:3" ht="12" customHeight="1">
      <c r="A49" s="462" t="s">
        <v>95</v>
      </c>
      <c r="B49" s="463" t="s">
        <v>131</v>
      </c>
      <c r="C49" s="609">
        <v>27824468</v>
      </c>
    </row>
    <row r="50" spans="1:3" ht="12" customHeight="1">
      <c r="A50" s="462" t="s">
        <v>96</v>
      </c>
      <c r="B50" s="463" t="s">
        <v>173</v>
      </c>
      <c r="C50" s="609"/>
    </row>
    <row r="51" spans="1:3" ht="12" customHeight="1" thickBot="1">
      <c r="A51" s="462" t="s">
        <v>139</v>
      </c>
      <c r="B51" s="463" t="s">
        <v>174</v>
      </c>
      <c r="C51" s="609"/>
    </row>
    <row r="52" spans="1:3" ht="12" customHeight="1" thickBot="1">
      <c r="A52" s="467" t="s">
        <v>15</v>
      </c>
      <c r="B52" s="468" t="s">
        <v>412</v>
      </c>
      <c r="C52" s="595">
        <f>SUM(C53:C55)</f>
        <v>825500</v>
      </c>
    </row>
    <row r="53" spans="1:3" s="481" customFormat="1" ht="12" customHeight="1">
      <c r="A53" s="462" t="s">
        <v>99</v>
      </c>
      <c r="B53" s="466" t="s">
        <v>217</v>
      </c>
      <c r="C53" s="601">
        <v>825500</v>
      </c>
    </row>
    <row r="54" spans="1:3" ht="12" customHeight="1">
      <c r="A54" s="462" t="s">
        <v>100</v>
      </c>
      <c r="B54" s="463" t="s">
        <v>176</v>
      </c>
      <c r="C54" s="609"/>
    </row>
    <row r="55" spans="1:3" ht="12" customHeight="1">
      <c r="A55" s="462" t="s">
        <v>101</v>
      </c>
      <c r="B55" s="463" t="s">
        <v>53</v>
      </c>
      <c r="C55" s="609"/>
    </row>
    <row r="56" spans="1:3" ht="12" customHeight="1" thickBot="1">
      <c r="A56" s="462" t="s">
        <v>102</v>
      </c>
      <c r="B56" s="463" t="s">
        <v>515</v>
      </c>
      <c r="C56" s="609"/>
    </row>
    <row r="57" spans="1:3" ht="15" customHeight="1" thickBot="1">
      <c r="A57" s="467" t="s">
        <v>16</v>
      </c>
      <c r="B57" s="468" t="s">
        <v>10</v>
      </c>
      <c r="C57" s="600"/>
    </row>
    <row r="58" spans="1:3" ht="13.5" thickBot="1">
      <c r="A58" s="467" t="s">
        <v>17</v>
      </c>
      <c r="B58" s="482" t="s">
        <v>520</v>
      </c>
      <c r="C58" s="610">
        <f>+C46+C52+C57</f>
        <v>122988139</v>
      </c>
    </row>
    <row r="59" spans="1:3" ht="15" customHeight="1" thickBot="1">
      <c r="C59" s="612"/>
    </row>
    <row r="60" spans="1:3" ht="14.25" customHeight="1" thickBot="1">
      <c r="A60" s="484" t="s">
        <v>510</v>
      </c>
      <c r="B60" s="485"/>
      <c r="C60" s="613">
        <v>19</v>
      </c>
    </row>
    <row r="61" spans="1:3" ht="13.5" thickBot="1">
      <c r="A61" s="484" t="s">
        <v>194</v>
      </c>
      <c r="B61" s="485"/>
      <c r="C61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8"/>
  </sheetPr>
  <dimension ref="A1:C61"/>
  <sheetViews>
    <sheetView topLeftCell="B1" zoomScaleNormal="100" workbookViewId="0">
      <selection activeCell="B1" sqref="B1"/>
    </sheetView>
  </sheetViews>
  <sheetFormatPr defaultRowHeight="12.75"/>
  <cols>
    <col min="1" max="1" width="13.83203125" style="611" customWidth="1"/>
    <col min="2" max="2" width="79.1640625" style="592" customWidth="1"/>
    <col min="3" max="3" width="25" style="592" customWidth="1"/>
    <col min="4" max="16384" width="9.33203125" style="592"/>
  </cols>
  <sheetData>
    <row r="1" spans="1:3" s="442" customFormat="1" ht="21" customHeight="1" thickBot="1">
      <c r="A1" s="440"/>
      <c r="B1" s="441" t="s">
        <v>726</v>
      </c>
      <c r="C1" s="441"/>
    </row>
    <row r="2" spans="1:3" s="445" customFormat="1" ht="25.5" customHeight="1">
      <c r="A2" s="443" t="s">
        <v>192</v>
      </c>
      <c r="B2" s="444" t="s">
        <v>537</v>
      </c>
      <c r="C2" s="589" t="s">
        <v>54</v>
      </c>
    </row>
    <row r="3" spans="1:3" s="445" customFormat="1" ht="24.75" thickBot="1">
      <c r="A3" s="446" t="s">
        <v>191</v>
      </c>
      <c r="B3" s="447" t="s">
        <v>414</v>
      </c>
      <c r="C3" s="590" t="s">
        <v>55</v>
      </c>
    </row>
    <row r="4" spans="1:3" s="449" customFormat="1" ht="15.95" customHeight="1" thickBot="1">
      <c r="A4" s="448"/>
      <c r="B4" s="448"/>
      <c r="C4" s="591" t="s">
        <v>581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/>
    </row>
    <row r="11" spans="1:3" s="459" customFormat="1" ht="12" customHeight="1">
      <c r="A11" s="462" t="s">
        <v>95</v>
      </c>
      <c r="B11" s="463" t="s">
        <v>272</v>
      </c>
      <c r="C11" s="597"/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/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/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0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/>
    </row>
    <row r="24" spans="1:3" s="465" customFormat="1" ht="12" customHeight="1" thickBot="1">
      <c r="A24" s="462" t="s">
        <v>102</v>
      </c>
      <c r="B24" s="463" t="s">
        <v>512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/>
    </row>
    <row r="26" spans="1:3" s="465" customFormat="1" ht="12" customHeight="1" thickBot="1">
      <c r="A26" s="467" t="s">
        <v>17</v>
      </c>
      <c r="B26" s="468" t="s">
        <v>513</v>
      </c>
      <c r="C26" s="595">
        <f>+C27+C28+C29</f>
        <v>0</v>
      </c>
    </row>
    <row r="27" spans="1:3" s="465" customFormat="1" ht="12" customHeight="1">
      <c r="A27" s="469" t="s">
        <v>257</v>
      </c>
      <c r="B27" s="470" t="s">
        <v>252</v>
      </c>
      <c r="C27" s="601"/>
    </row>
    <row r="28" spans="1:3" s="465" customFormat="1" ht="12" customHeight="1">
      <c r="A28" s="469" t="s">
        <v>260</v>
      </c>
      <c r="B28" s="470" t="s">
        <v>398</v>
      </c>
      <c r="C28" s="597"/>
    </row>
    <row r="29" spans="1:3" s="465" customFormat="1" ht="12" customHeight="1">
      <c r="A29" s="469" t="s">
        <v>261</v>
      </c>
      <c r="B29" s="471" t="s">
        <v>401</v>
      </c>
      <c r="C29" s="597"/>
    </row>
    <row r="30" spans="1:3" s="465" customFormat="1" ht="12" customHeight="1" thickBot="1">
      <c r="A30" s="462" t="s">
        <v>262</v>
      </c>
      <c r="B30" s="472" t="s">
        <v>514</v>
      </c>
      <c r="C30" s="603"/>
    </row>
    <row r="31" spans="1:3" s="465" customFormat="1" ht="12" customHeight="1" thickBot="1">
      <c r="A31" s="467" t="s">
        <v>18</v>
      </c>
      <c r="B31" s="468" t="s">
        <v>402</v>
      </c>
      <c r="C31" s="595">
        <f>+C32+C33+C34</f>
        <v>0</v>
      </c>
    </row>
    <row r="32" spans="1:3" s="465" customFormat="1" ht="12" customHeight="1">
      <c r="A32" s="469" t="s">
        <v>86</v>
      </c>
      <c r="B32" s="470" t="s">
        <v>284</v>
      </c>
      <c r="C32" s="601"/>
    </row>
    <row r="33" spans="1:3" s="465" customFormat="1" ht="12" customHeight="1">
      <c r="A33" s="469" t="s">
        <v>87</v>
      </c>
      <c r="B33" s="471" t="s">
        <v>285</v>
      </c>
      <c r="C33" s="602"/>
    </row>
    <row r="34" spans="1:3" s="465" customFormat="1" ht="12" customHeight="1" thickBot="1">
      <c r="A34" s="462" t="s">
        <v>88</v>
      </c>
      <c r="B34" s="472" t="s">
        <v>286</v>
      </c>
      <c r="C34" s="603"/>
    </row>
    <row r="35" spans="1:3" s="459" customFormat="1" ht="12" customHeight="1" thickBot="1">
      <c r="A35" s="467" t="s">
        <v>19</v>
      </c>
      <c r="B35" s="468" t="s">
        <v>371</v>
      </c>
      <c r="C35" s="600"/>
    </row>
    <row r="36" spans="1:3" s="459" customFormat="1" ht="12" customHeight="1" thickBot="1">
      <c r="A36" s="467" t="s">
        <v>20</v>
      </c>
      <c r="B36" s="468" t="s">
        <v>403</v>
      </c>
      <c r="C36" s="604"/>
    </row>
    <row r="37" spans="1:3" s="459" customFormat="1" ht="12" customHeight="1" thickBot="1">
      <c r="A37" s="453" t="s">
        <v>21</v>
      </c>
      <c r="B37" s="468" t="s">
        <v>404</v>
      </c>
      <c r="C37" s="605">
        <f>+C8+C20+C25+C26+C31+C35+C36</f>
        <v>0</v>
      </c>
    </row>
    <row r="38" spans="1:3" s="459" customFormat="1" ht="12" customHeight="1" thickBot="1">
      <c r="A38" s="473" t="s">
        <v>22</v>
      </c>
      <c r="B38" s="468" t="s">
        <v>405</v>
      </c>
      <c r="C38" s="605">
        <f>+C39+C40+C41</f>
        <v>0</v>
      </c>
    </row>
    <row r="39" spans="1:3" s="459" customFormat="1" ht="12" customHeight="1">
      <c r="A39" s="469" t="s">
        <v>406</v>
      </c>
      <c r="B39" s="470" t="s">
        <v>226</v>
      </c>
      <c r="C39" s="601"/>
    </row>
    <row r="40" spans="1:3" s="459" customFormat="1" ht="12" customHeight="1">
      <c r="A40" s="469" t="s">
        <v>407</v>
      </c>
      <c r="B40" s="471" t="s">
        <v>0</v>
      </c>
      <c r="C40" s="602"/>
    </row>
    <row r="41" spans="1:3" s="465" customFormat="1" ht="12" customHeight="1" thickBot="1">
      <c r="A41" s="462" t="s">
        <v>408</v>
      </c>
      <c r="B41" s="472" t="s">
        <v>409</v>
      </c>
      <c r="C41" s="603"/>
    </row>
    <row r="42" spans="1:3" s="465" customFormat="1" ht="15" customHeight="1" thickBot="1">
      <c r="A42" s="473" t="s">
        <v>23</v>
      </c>
      <c r="B42" s="474" t="s">
        <v>410</v>
      </c>
      <c r="C42" s="606">
        <f>+C37+C38</f>
        <v>0</v>
      </c>
    </row>
    <row r="43" spans="1:3" s="465" customFormat="1" ht="15" customHeight="1">
      <c r="A43" s="475"/>
      <c r="B43" s="476"/>
      <c r="C43" s="607"/>
    </row>
    <row r="44" spans="1:3" ht="13.5" thickBot="1">
      <c r="A44" s="477"/>
      <c r="B44" s="478"/>
      <c r="C44" s="608"/>
    </row>
    <row r="45" spans="1:3" s="455" customFormat="1" ht="16.5" customHeight="1" thickBot="1">
      <c r="A45" s="479"/>
      <c r="B45" s="480" t="s">
        <v>52</v>
      </c>
      <c r="C45" s="606"/>
    </row>
    <row r="46" spans="1:3" s="481" customFormat="1" ht="12" customHeight="1" thickBot="1">
      <c r="A46" s="467" t="s">
        <v>14</v>
      </c>
      <c r="B46" s="468" t="s">
        <v>411</v>
      </c>
      <c r="C46" s="595">
        <f>SUM(C47:C51)</f>
        <v>0</v>
      </c>
    </row>
    <row r="47" spans="1:3" ht="12" customHeight="1">
      <c r="A47" s="462" t="s">
        <v>93</v>
      </c>
      <c r="B47" s="466" t="s">
        <v>44</v>
      </c>
      <c r="C47" s="601"/>
    </row>
    <row r="48" spans="1:3" ht="12" customHeight="1">
      <c r="A48" s="462" t="s">
        <v>94</v>
      </c>
      <c r="B48" s="463" t="s">
        <v>172</v>
      </c>
      <c r="C48" s="609"/>
    </row>
    <row r="49" spans="1:3" ht="12" customHeight="1">
      <c r="A49" s="462" t="s">
        <v>95</v>
      </c>
      <c r="B49" s="463" t="s">
        <v>131</v>
      </c>
      <c r="C49" s="609"/>
    </row>
    <row r="50" spans="1:3" ht="12" customHeight="1">
      <c r="A50" s="462" t="s">
        <v>96</v>
      </c>
      <c r="B50" s="463" t="s">
        <v>173</v>
      </c>
      <c r="C50" s="609"/>
    </row>
    <row r="51" spans="1:3" ht="12" customHeight="1" thickBot="1">
      <c r="A51" s="462" t="s">
        <v>139</v>
      </c>
      <c r="B51" s="463" t="s">
        <v>174</v>
      </c>
      <c r="C51" s="609"/>
    </row>
    <row r="52" spans="1:3" ht="12" customHeight="1" thickBot="1">
      <c r="A52" s="467" t="s">
        <v>15</v>
      </c>
      <c r="B52" s="468" t="s">
        <v>412</v>
      </c>
      <c r="C52" s="595">
        <f>SUM(C53:C55)</f>
        <v>0</v>
      </c>
    </row>
    <row r="53" spans="1:3" s="481" customFormat="1" ht="12" customHeight="1">
      <c r="A53" s="462" t="s">
        <v>99</v>
      </c>
      <c r="B53" s="466" t="s">
        <v>217</v>
      </c>
      <c r="C53" s="601"/>
    </row>
    <row r="54" spans="1:3" ht="12" customHeight="1">
      <c r="A54" s="462" t="s">
        <v>100</v>
      </c>
      <c r="B54" s="463" t="s">
        <v>176</v>
      </c>
      <c r="C54" s="609"/>
    </row>
    <row r="55" spans="1:3" ht="12" customHeight="1">
      <c r="A55" s="462" t="s">
        <v>101</v>
      </c>
      <c r="B55" s="463" t="s">
        <v>53</v>
      </c>
      <c r="C55" s="609"/>
    </row>
    <row r="56" spans="1:3" ht="12" customHeight="1" thickBot="1">
      <c r="A56" s="462" t="s">
        <v>102</v>
      </c>
      <c r="B56" s="463" t="s">
        <v>515</v>
      </c>
      <c r="C56" s="609"/>
    </row>
    <row r="57" spans="1:3" ht="15" customHeight="1" thickBot="1">
      <c r="A57" s="467" t="s">
        <v>16</v>
      </c>
      <c r="B57" s="468" t="s">
        <v>10</v>
      </c>
      <c r="C57" s="600"/>
    </row>
    <row r="58" spans="1:3" ht="13.5" thickBot="1">
      <c r="A58" s="467" t="s">
        <v>17</v>
      </c>
      <c r="B58" s="482" t="s">
        <v>520</v>
      </c>
      <c r="C58" s="610">
        <f>+C46+C52+C57</f>
        <v>0</v>
      </c>
    </row>
    <row r="59" spans="1:3" ht="15" customHeight="1" thickBot="1">
      <c r="C59" s="612"/>
    </row>
    <row r="60" spans="1:3" ht="14.25" customHeight="1" thickBot="1">
      <c r="A60" s="484" t="s">
        <v>510</v>
      </c>
      <c r="B60" s="485"/>
      <c r="C60" s="613"/>
    </row>
    <row r="61" spans="1:3" ht="13.5" thickBot="1">
      <c r="A61" s="484" t="s">
        <v>194</v>
      </c>
      <c r="B61" s="485"/>
      <c r="C61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8"/>
  </sheetPr>
  <dimension ref="A1:C61"/>
  <sheetViews>
    <sheetView topLeftCell="B1" zoomScaleNormal="100" workbookViewId="0">
      <selection activeCell="B1" sqref="B1"/>
    </sheetView>
  </sheetViews>
  <sheetFormatPr defaultRowHeight="12.75"/>
  <cols>
    <col min="1" max="1" width="13.83203125" style="611" customWidth="1"/>
    <col min="2" max="2" width="79.1640625" style="592" customWidth="1"/>
    <col min="3" max="3" width="25" style="592" customWidth="1"/>
    <col min="4" max="16384" width="9.33203125" style="592"/>
  </cols>
  <sheetData>
    <row r="1" spans="1:3" s="442" customFormat="1" ht="21" customHeight="1" thickBot="1">
      <c r="A1" s="440"/>
      <c r="B1" s="441" t="s">
        <v>727</v>
      </c>
      <c r="C1" s="441"/>
    </row>
    <row r="2" spans="1:3" s="445" customFormat="1" ht="33" customHeight="1">
      <c r="A2" s="443" t="s">
        <v>192</v>
      </c>
      <c r="B2" s="444" t="s">
        <v>537</v>
      </c>
      <c r="C2" s="589" t="s">
        <v>54</v>
      </c>
    </row>
    <row r="3" spans="1:3" s="445" customFormat="1" ht="24.75" thickBot="1">
      <c r="A3" s="446" t="s">
        <v>191</v>
      </c>
      <c r="B3" s="447" t="s">
        <v>521</v>
      </c>
      <c r="C3" s="590" t="s">
        <v>425</v>
      </c>
    </row>
    <row r="4" spans="1:3" s="449" customFormat="1" ht="15.95" customHeight="1" thickBot="1">
      <c r="A4" s="448"/>
      <c r="B4" s="448"/>
      <c r="C4" s="591" t="s">
        <v>581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/>
    </row>
    <row r="11" spans="1:3" s="459" customFormat="1" ht="12" customHeight="1">
      <c r="A11" s="462" t="s">
        <v>95</v>
      </c>
      <c r="B11" s="463" t="s">
        <v>272</v>
      </c>
      <c r="C11" s="597"/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/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/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0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/>
    </row>
    <row r="24" spans="1:3" s="465" customFormat="1" ht="12" customHeight="1" thickBot="1">
      <c r="A24" s="462" t="s">
        <v>102</v>
      </c>
      <c r="B24" s="463" t="s">
        <v>512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/>
    </row>
    <row r="26" spans="1:3" s="465" customFormat="1" ht="12" customHeight="1" thickBot="1">
      <c r="A26" s="467" t="s">
        <v>17</v>
      </c>
      <c r="B26" s="468" t="s">
        <v>513</v>
      </c>
      <c r="C26" s="595">
        <f>+C27+C28+C29</f>
        <v>0</v>
      </c>
    </row>
    <row r="27" spans="1:3" s="465" customFormat="1" ht="12" customHeight="1">
      <c r="A27" s="469" t="s">
        <v>257</v>
      </c>
      <c r="B27" s="470" t="s">
        <v>252</v>
      </c>
      <c r="C27" s="601"/>
    </row>
    <row r="28" spans="1:3" s="465" customFormat="1" ht="12" customHeight="1">
      <c r="A28" s="469" t="s">
        <v>260</v>
      </c>
      <c r="B28" s="470" t="s">
        <v>398</v>
      </c>
      <c r="C28" s="597"/>
    </row>
    <row r="29" spans="1:3" s="465" customFormat="1" ht="12" customHeight="1">
      <c r="A29" s="469" t="s">
        <v>261</v>
      </c>
      <c r="B29" s="471" t="s">
        <v>401</v>
      </c>
      <c r="C29" s="597"/>
    </row>
    <row r="30" spans="1:3" s="465" customFormat="1" ht="12" customHeight="1" thickBot="1">
      <c r="A30" s="462" t="s">
        <v>262</v>
      </c>
      <c r="B30" s="472" t="s">
        <v>514</v>
      </c>
      <c r="C30" s="603"/>
    </row>
    <row r="31" spans="1:3" s="465" customFormat="1" ht="12" customHeight="1" thickBot="1">
      <c r="A31" s="467" t="s">
        <v>18</v>
      </c>
      <c r="B31" s="468" t="s">
        <v>402</v>
      </c>
      <c r="C31" s="595">
        <f>+C32+C33+C34</f>
        <v>0</v>
      </c>
    </row>
    <row r="32" spans="1:3" s="465" customFormat="1" ht="12" customHeight="1">
      <c r="A32" s="469" t="s">
        <v>86</v>
      </c>
      <c r="B32" s="470" t="s">
        <v>284</v>
      </c>
      <c r="C32" s="601"/>
    </row>
    <row r="33" spans="1:3" s="465" customFormat="1" ht="12" customHeight="1">
      <c r="A33" s="469" t="s">
        <v>87</v>
      </c>
      <c r="B33" s="471" t="s">
        <v>285</v>
      </c>
      <c r="C33" s="602"/>
    </row>
    <row r="34" spans="1:3" s="465" customFormat="1" ht="12" customHeight="1" thickBot="1">
      <c r="A34" s="462" t="s">
        <v>88</v>
      </c>
      <c r="B34" s="472" t="s">
        <v>286</v>
      </c>
      <c r="C34" s="603"/>
    </row>
    <row r="35" spans="1:3" s="459" customFormat="1" ht="12" customHeight="1" thickBot="1">
      <c r="A35" s="467" t="s">
        <v>19</v>
      </c>
      <c r="B35" s="468" t="s">
        <v>371</v>
      </c>
      <c r="C35" s="600"/>
    </row>
    <row r="36" spans="1:3" s="459" customFormat="1" ht="12" customHeight="1" thickBot="1">
      <c r="A36" s="467" t="s">
        <v>20</v>
      </c>
      <c r="B36" s="468" t="s">
        <v>403</v>
      </c>
      <c r="C36" s="604"/>
    </row>
    <row r="37" spans="1:3" s="459" customFormat="1" ht="12" customHeight="1" thickBot="1">
      <c r="A37" s="453" t="s">
        <v>21</v>
      </c>
      <c r="B37" s="468" t="s">
        <v>404</v>
      </c>
      <c r="C37" s="605">
        <f>+C8+C20+C25+C26+C31+C35+C36</f>
        <v>0</v>
      </c>
    </row>
    <row r="38" spans="1:3" s="459" customFormat="1" ht="12" customHeight="1" thickBot="1">
      <c r="A38" s="473" t="s">
        <v>22</v>
      </c>
      <c r="B38" s="468" t="s">
        <v>405</v>
      </c>
      <c r="C38" s="605">
        <f>+C39+C40+C41</f>
        <v>0</v>
      </c>
    </row>
    <row r="39" spans="1:3" s="459" customFormat="1" ht="12" customHeight="1">
      <c r="A39" s="469" t="s">
        <v>406</v>
      </c>
      <c r="B39" s="470" t="s">
        <v>226</v>
      </c>
      <c r="C39" s="601"/>
    </row>
    <row r="40" spans="1:3" s="459" customFormat="1" ht="12" customHeight="1">
      <c r="A40" s="469" t="s">
        <v>407</v>
      </c>
      <c r="B40" s="471" t="s">
        <v>0</v>
      </c>
      <c r="C40" s="602"/>
    </row>
    <row r="41" spans="1:3" s="465" customFormat="1" ht="12" customHeight="1" thickBot="1">
      <c r="A41" s="462" t="s">
        <v>408</v>
      </c>
      <c r="B41" s="472" t="s">
        <v>409</v>
      </c>
      <c r="C41" s="603"/>
    </row>
    <row r="42" spans="1:3" s="465" customFormat="1" ht="15" customHeight="1" thickBot="1">
      <c r="A42" s="473" t="s">
        <v>23</v>
      </c>
      <c r="B42" s="474" t="s">
        <v>410</v>
      </c>
      <c r="C42" s="606">
        <f>+C37+C38</f>
        <v>0</v>
      </c>
    </row>
    <row r="43" spans="1:3" s="465" customFormat="1" ht="15" customHeight="1">
      <c r="A43" s="475"/>
      <c r="B43" s="476"/>
      <c r="C43" s="607"/>
    </row>
    <row r="44" spans="1:3" ht="13.5" thickBot="1">
      <c r="A44" s="477"/>
      <c r="B44" s="478"/>
      <c r="C44" s="608"/>
    </row>
    <row r="45" spans="1:3" s="455" customFormat="1" ht="16.5" customHeight="1" thickBot="1">
      <c r="A45" s="479"/>
      <c r="B45" s="480" t="s">
        <v>52</v>
      </c>
      <c r="C45" s="606"/>
    </row>
    <row r="46" spans="1:3" s="481" customFormat="1" ht="12" customHeight="1" thickBot="1">
      <c r="A46" s="467" t="s">
        <v>14</v>
      </c>
      <c r="B46" s="468" t="s">
        <v>411</v>
      </c>
      <c r="C46" s="595">
        <f>SUM(C47:C51)</f>
        <v>0</v>
      </c>
    </row>
    <row r="47" spans="1:3" ht="12" customHeight="1">
      <c r="A47" s="462" t="s">
        <v>93</v>
      </c>
      <c r="B47" s="466" t="s">
        <v>44</v>
      </c>
      <c r="C47" s="601"/>
    </row>
    <row r="48" spans="1:3" ht="12" customHeight="1">
      <c r="A48" s="462" t="s">
        <v>94</v>
      </c>
      <c r="B48" s="463" t="s">
        <v>172</v>
      </c>
      <c r="C48" s="609"/>
    </row>
    <row r="49" spans="1:3" ht="12" customHeight="1">
      <c r="A49" s="462" t="s">
        <v>95</v>
      </c>
      <c r="B49" s="463" t="s">
        <v>131</v>
      </c>
      <c r="C49" s="609"/>
    </row>
    <row r="50" spans="1:3" ht="12" customHeight="1">
      <c r="A50" s="462" t="s">
        <v>96</v>
      </c>
      <c r="B50" s="463" t="s">
        <v>173</v>
      </c>
      <c r="C50" s="609"/>
    </row>
    <row r="51" spans="1:3" ht="12" customHeight="1" thickBot="1">
      <c r="A51" s="462" t="s">
        <v>139</v>
      </c>
      <c r="B51" s="463" t="s">
        <v>174</v>
      </c>
      <c r="C51" s="609"/>
    </row>
    <row r="52" spans="1:3" ht="12" customHeight="1" thickBot="1">
      <c r="A52" s="467" t="s">
        <v>15</v>
      </c>
      <c r="B52" s="468" t="s">
        <v>412</v>
      </c>
      <c r="C52" s="595">
        <f>SUM(C53:C55)</f>
        <v>0</v>
      </c>
    </row>
    <row r="53" spans="1:3" s="481" customFormat="1" ht="12" customHeight="1">
      <c r="A53" s="462" t="s">
        <v>99</v>
      </c>
      <c r="B53" s="466" t="s">
        <v>217</v>
      </c>
      <c r="C53" s="601"/>
    </row>
    <row r="54" spans="1:3" ht="12" customHeight="1">
      <c r="A54" s="462" t="s">
        <v>100</v>
      </c>
      <c r="B54" s="463" t="s">
        <v>176</v>
      </c>
      <c r="C54" s="609"/>
    </row>
    <row r="55" spans="1:3" ht="12" customHeight="1">
      <c r="A55" s="462" t="s">
        <v>101</v>
      </c>
      <c r="B55" s="463" t="s">
        <v>53</v>
      </c>
      <c r="C55" s="609"/>
    </row>
    <row r="56" spans="1:3" ht="12" customHeight="1" thickBot="1">
      <c r="A56" s="462" t="s">
        <v>102</v>
      </c>
      <c r="B56" s="463" t="s">
        <v>515</v>
      </c>
      <c r="C56" s="609"/>
    </row>
    <row r="57" spans="1:3" ht="15" customHeight="1" thickBot="1">
      <c r="A57" s="467" t="s">
        <v>16</v>
      </c>
      <c r="B57" s="468" t="s">
        <v>10</v>
      </c>
      <c r="C57" s="600"/>
    </row>
    <row r="58" spans="1:3" ht="13.5" thickBot="1">
      <c r="A58" s="467" t="s">
        <v>17</v>
      </c>
      <c r="B58" s="482" t="s">
        <v>520</v>
      </c>
      <c r="C58" s="610">
        <f>+C46+C52+C57</f>
        <v>0</v>
      </c>
    </row>
    <row r="59" spans="1:3" ht="15" customHeight="1" thickBot="1">
      <c r="C59" s="612"/>
    </row>
    <row r="60" spans="1:3" ht="14.25" customHeight="1" thickBot="1">
      <c r="A60" s="484" t="s">
        <v>510</v>
      </c>
      <c r="B60" s="485"/>
      <c r="C60" s="613"/>
    </row>
    <row r="61" spans="1:3" ht="13.5" thickBot="1">
      <c r="A61" s="484" t="s">
        <v>194</v>
      </c>
      <c r="B61" s="485"/>
      <c r="C61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57"/>
  </sheetPr>
  <dimension ref="A1:C60"/>
  <sheetViews>
    <sheetView zoomScaleNormal="100" workbookViewId="0">
      <selection activeCell="B1" sqref="B1"/>
    </sheetView>
  </sheetViews>
  <sheetFormatPr defaultRowHeight="12.75"/>
  <cols>
    <col min="1" max="1" width="13.83203125" style="611" customWidth="1"/>
    <col min="2" max="2" width="79.1640625" style="592" customWidth="1"/>
    <col min="3" max="3" width="25" style="592" customWidth="1"/>
    <col min="4" max="16384" width="9.33203125" style="592"/>
  </cols>
  <sheetData>
    <row r="1" spans="1:3" s="442" customFormat="1" ht="21" customHeight="1" thickBot="1">
      <c r="A1" s="440"/>
      <c r="B1" s="441" t="s">
        <v>728</v>
      </c>
      <c r="C1" s="441"/>
    </row>
    <row r="2" spans="1:3" s="445" customFormat="1" ht="33.75" customHeight="1">
      <c r="A2" s="443" t="s">
        <v>192</v>
      </c>
      <c r="B2" s="444" t="s">
        <v>538</v>
      </c>
      <c r="C2" s="589" t="s">
        <v>55</v>
      </c>
    </row>
    <row r="3" spans="1:3" s="445" customFormat="1" ht="24.75" thickBot="1">
      <c r="A3" s="446" t="s">
        <v>191</v>
      </c>
      <c r="B3" s="447" t="s">
        <v>394</v>
      </c>
      <c r="C3" s="590" t="s">
        <v>49</v>
      </c>
    </row>
    <row r="4" spans="1:3" s="449" customFormat="1" ht="15.95" customHeight="1" thickBot="1">
      <c r="A4" s="448"/>
      <c r="B4" s="448"/>
      <c r="C4" s="591" t="s">
        <v>589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2221010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>
        <v>2120000</v>
      </c>
    </row>
    <row r="11" spans="1:3" s="459" customFormat="1" ht="12" customHeight="1">
      <c r="A11" s="462" t="s">
        <v>95</v>
      </c>
      <c r="B11" s="463" t="s">
        <v>272</v>
      </c>
      <c r="C11" s="597">
        <v>100000</v>
      </c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>
        <v>10</v>
      </c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>
        <v>1000</v>
      </c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678958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>
        <v>678958</v>
      </c>
    </row>
    <row r="24" spans="1:3" s="465" customFormat="1" ht="12" customHeight="1" thickBot="1">
      <c r="A24" s="462" t="s">
        <v>102</v>
      </c>
      <c r="B24" s="463" t="s">
        <v>516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/>
    </row>
    <row r="26" spans="1:3" s="465" customFormat="1" ht="12" customHeight="1" thickBot="1">
      <c r="A26" s="467" t="s">
        <v>17</v>
      </c>
      <c r="B26" s="468" t="s">
        <v>400</v>
      </c>
      <c r="C26" s="595">
        <f>+C27+C28</f>
        <v>0</v>
      </c>
    </row>
    <row r="27" spans="1:3" s="465" customFormat="1" ht="12" customHeight="1">
      <c r="A27" s="469" t="s">
        <v>257</v>
      </c>
      <c r="B27" s="470" t="s">
        <v>398</v>
      </c>
      <c r="C27" s="601"/>
    </row>
    <row r="28" spans="1:3" s="465" customFormat="1" ht="12" customHeight="1">
      <c r="A28" s="469" t="s">
        <v>260</v>
      </c>
      <c r="B28" s="471" t="s">
        <v>401</v>
      </c>
      <c r="C28" s="602"/>
    </row>
    <row r="29" spans="1:3" s="465" customFormat="1" ht="12" customHeight="1" thickBot="1">
      <c r="A29" s="462" t="s">
        <v>261</v>
      </c>
      <c r="B29" s="472" t="s">
        <v>517</v>
      </c>
      <c r="C29" s="603"/>
    </row>
    <row r="30" spans="1:3" s="465" customFormat="1" ht="12" customHeight="1" thickBot="1">
      <c r="A30" s="467" t="s">
        <v>18</v>
      </c>
      <c r="B30" s="468" t="s">
        <v>402</v>
      </c>
      <c r="C30" s="595">
        <f>+C31+C32+C33</f>
        <v>0</v>
      </c>
    </row>
    <row r="31" spans="1:3" s="465" customFormat="1" ht="12" customHeight="1">
      <c r="A31" s="469" t="s">
        <v>86</v>
      </c>
      <c r="B31" s="470" t="s">
        <v>284</v>
      </c>
      <c r="C31" s="601"/>
    </row>
    <row r="32" spans="1:3" s="465" customFormat="1" ht="12" customHeight="1">
      <c r="A32" s="469" t="s">
        <v>87</v>
      </c>
      <c r="B32" s="471" t="s">
        <v>285</v>
      </c>
      <c r="C32" s="602"/>
    </row>
    <row r="33" spans="1:3" s="465" customFormat="1" ht="12" customHeight="1" thickBot="1">
      <c r="A33" s="462" t="s">
        <v>88</v>
      </c>
      <c r="B33" s="472" t="s">
        <v>286</v>
      </c>
      <c r="C33" s="603"/>
    </row>
    <row r="34" spans="1:3" s="459" customFormat="1" ht="12" customHeight="1" thickBot="1">
      <c r="A34" s="467" t="s">
        <v>19</v>
      </c>
      <c r="B34" s="468" t="s">
        <v>371</v>
      </c>
      <c r="C34" s="600"/>
    </row>
    <row r="35" spans="1:3" s="459" customFormat="1" ht="12" customHeight="1" thickBot="1">
      <c r="A35" s="467" t="s">
        <v>20</v>
      </c>
      <c r="B35" s="468" t="s">
        <v>403</v>
      </c>
      <c r="C35" s="604"/>
    </row>
    <row r="36" spans="1:3" s="459" customFormat="1" ht="12" customHeight="1" thickBot="1">
      <c r="A36" s="453" t="s">
        <v>21</v>
      </c>
      <c r="B36" s="468" t="s">
        <v>518</v>
      </c>
      <c r="C36" s="605">
        <f>+C8+C20+C25+C26+C30+C34+C35</f>
        <v>2899968</v>
      </c>
    </row>
    <row r="37" spans="1:3" s="459" customFormat="1" ht="12" customHeight="1" thickBot="1">
      <c r="A37" s="473" t="s">
        <v>22</v>
      </c>
      <c r="B37" s="468" t="s">
        <v>405</v>
      </c>
      <c r="C37" s="605">
        <f>+C38+C39+C40</f>
        <v>54823559</v>
      </c>
    </row>
    <row r="38" spans="1:3" s="459" customFormat="1" ht="12" customHeight="1">
      <c r="A38" s="469" t="s">
        <v>406</v>
      </c>
      <c r="B38" s="470" t="s">
        <v>226</v>
      </c>
      <c r="C38" s="601"/>
    </row>
    <row r="39" spans="1:3" s="459" customFormat="1" ht="12" customHeight="1">
      <c r="A39" s="469" t="s">
        <v>407</v>
      </c>
      <c r="B39" s="471" t="s">
        <v>0</v>
      </c>
      <c r="C39" s="602"/>
    </row>
    <row r="40" spans="1:3" s="465" customFormat="1" ht="12" customHeight="1" thickBot="1">
      <c r="A40" s="462" t="s">
        <v>408</v>
      </c>
      <c r="B40" s="472" t="s">
        <v>409</v>
      </c>
      <c r="C40" s="603">
        <v>54823559</v>
      </c>
    </row>
    <row r="41" spans="1:3" s="465" customFormat="1" ht="15" customHeight="1" thickBot="1">
      <c r="A41" s="473" t="s">
        <v>23</v>
      </c>
      <c r="B41" s="474" t="s">
        <v>410</v>
      </c>
      <c r="C41" s="606">
        <f>+C36+C37</f>
        <v>57723527</v>
      </c>
    </row>
    <row r="42" spans="1:3" s="465" customFormat="1" ht="15" customHeight="1">
      <c r="A42" s="475"/>
      <c r="B42" s="476"/>
      <c r="C42" s="607"/>
    </row>
    <row r="43" spans="1:3" ht="13.5" thickBot="1">
      <c r="A43" s="477"/>
      <c r="B43" s="478"/>
      <c r="C43" s="608"/>
    </row>
    <row r="44" spans="1:3" s="455" customFormat="1" ht="16.5" customHeight="1" thickBot="1">
      <c r="A44" s="479"/>
      <c r="B44" s="480" t="s">
        <v>52</v>
      </c>
      <c r="C44" s="606"/>
    </row>
    <row r="45" spans="1:3" s="481" customFormat="1" ht="12" customHeight="1" thickBot="1">
      <c r="A45" s="467" t="s">
        <v>14</v>
      </c>
      <c r="B45" s="468" t="s">
        <v>411</v>
      </c>
      <c r="C45" s="595">
        <f>SUM(C46:C50)</f>
        <v>55210527</v>
      </c>
    </row>
    <row r="46" spans="1:3" ht="12" customHeight="1">
      <c r="A46" s="462" t="s">
        <v>93</v>
      </c>
      <c r="B46" s="466" t="s">
        <v>44</v>
      </c>
      <c r="C46" s="601">
        <v>21392976</v>
      </c>
    </row>
    <row r="47" spans="1:3" ht="12" customHeight="1">
      <c r="A47" s="462" t="s">
        <v>94</v>
      </c>
      <c r="B47" s="463" t="s">
        <v>172</v>
      </c>
      <c r="C47" s="609">
        <v>4668631</v>
      </c>
    </row>
    <row r="48" spans="1:3" ht="12" customHeight="1">
      <c r="A48" s="462" t="s">
        <v>95</v>
      </c>
      <c r="B48" s="463" t="s">
        <v>131</v>
      </c>
      <c r="C48" s="609">
        <v>29148920</v>
      </c>
    </row>
    <row r="49" spans="1:3" ht="12" customHeight="1">
      <c r="A49" s="462" t="s">
        <v>96</v>
      </c>
      <c r="B49" s="463" t="s">
        <v>173</v>
      </c>
      <c r="C49" s="609"/>
    </row>
    <row r="50" spans="1:3" ht="12" customHeight="1" thickBot="1">
      <c r="A50" s="462" t="s">
        <v>139</v>
      </c>
      <c r="B50" s="463" t="s">
        <v>174</v>
      </c>
      <c r="C50" s="609"/>
    </row>
    <row r="51" spans="1:3" ht="12" customHeight="1" thickBot="1">
      <c r="A51" s="467" t="s">
        <v>15</v>
      </c>
      <c r="B51" s="468" t="s">
        <v>412</v>
      </c>
      <c r="C51" s="595">
        <f>SUM(C52:C54)</f>
        <v>2513000</v>
      </c>
    </row>
    <row r="52" spans="1:3" s="481" customFormat="1" ht="12" customHeight="1">
      <c r="A52" s="462" t="s">
        <v>99</v>
      </c>
      <c r="B52" s="466" t="s">
        <v>217</v>
      </c>
      <c r="C52" s="601">
        <v>2513000</v>
      </c>
    </row>
    <row r="53" spans="1:3" ht="12" customHeight="1">
      <c r="A53" s="462" t="s">
        <v>100</v>
      </c>
      <c r="B53" s="463" t="s">
        <v>176</v>
      </c>
      <c r="C53" s="609"/>
    </row>
    <row r="54" spans="1:3" ht="12" customHeight="1">
      <c r="A54" s="462" t="s">
        <v>101</v>
      </c>
      <c r="B54" s="463" t="s">
        <v>53</v>
      </c>
      <c r="C54" s="609"/>
    </row>
    <row r="55" spans="1:3" ht="12" customHeight="1" thickBot="1">
      <c r="A55" s="462" t="s">
        <v>102</v>
      </c>
      <c r="B55" s="463" t="s">
        <v>515</v>
      </c>
      <c r="C55" s="609"/>
    </row>
    <row r="56" spans="1:3" ht="15" customHeight="1" thickBot="1">
      <c r="A56" s="467" t="s">
        <v>16</v>
      </c>
      <c r="B56" s="468" t="s">
        <v>10</v>
      </c>
      <c r="C56" s="600"/>
    </row>
    <row r="57" spans="1:3" ht="13.5" thickBot="1">
      <c r="A57" s="467" t="s">
        <v>17</v>
      </c>
      <c r="B57" s="482" t="s">
        <v>520</v>
      </c>
      <c r="C57" s="610">
        <f>+C45+C51+C56</f>
        <v>57723527</v>
      </c>
    </row>
    <row r="58" spans="1:3" ht="15" customHeight="1" thickBot="1">
      <c r="C58" s="612"/>
    </row>
    <row r="59" spans="1:3" ht="14.25" customHeight="1" thickBot="1">
      <c r="A59" s="484" t="s">
        <v>510</v>
      </c>
      <c r="B59" s="485"/>
      <c r="C59" s="613">
        <v>4</v>
      </c>
    </row>
    <row r="60" spans="1:3" ht="13.5" thickBot="1">
      <c r="A60" s="484" t="s">
        <v>194</v>
      </c>
      <c r="B60" s="485"/>
      <c r="C60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Footer>&amp;P. oldal, összesen: &amp;N</oddFooter>
  </headerFooter>
  <rowBreaks count="1" manualBreakCount="1">
    <brk id="4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57"/>
  </sheetPr>
  <dimension ref="A1:C60"/>
  <sheetViews>
    <sheetView zoomScaleNormal="100" workbookViewId="0">
      <selection activeCell="B1" sqref="B1"/>
    </sheetView>
  </sheetViews>
  <sheetFormatPr defaultRowHeight="12.75"/>
  <cols>
    <col min="1" max="1" width="13.83203125" style="611" customWidth="1"/>
    <col min="2" max="2" width="48.6640625" style="592" bestFit="1" customWidth="1"/>
    <col min="3" max="3" width="25" style="592" customWidth="1"/>
    <col min="4" max="16384" width="9.33203125" style="592"/>
  </cols>
  <sheetData>
    <row r="1" spans="1:3" s="442" customFormat="1" ht="21" customHeight="1" thickBot="1">
      <c r="A1" s="440"/>
      <c r="B1" s="441" t="s">
        <v>729</v>
      </c>
      <c r="C1" s="441"/>
    </row>
    <row r="2" spans="1:3" s="445" customFormat="1" ht="36" customHeight="1">
      <c r="A2" s="443" t="s">
        <v>192</v>
      </c>
      <c r="B2" s="444" t="s">
        <v>538</v>
      </c>
      <c r="C2" s="589" t="s">
        <v>55</v>
      </c>
    </row>
    <row r="3" spans="1:3" s="445" customFormat="1" ht="24.75" thickBot="1">
      <c r="A3" s="446" t="s">
        <v>191</v>
      </c>
      <c r="B3" s="447" t="s">
        <v>413</v>
      </c>
      <c r="C3" s="590" t="s">
        <v>49</v>
      </c>
    </row>
    <row r="4" spans="1:3" s="449" customFormat="1" ht="15.95" customHeight="1" thickBot="1">
      <c r="A4" s="448"/>
      <c r="B4" s="448"/>
      <c r="C4" s="591" t="s">
        <v>589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2221010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>
        <v>2120000</v>
      </c>
    </row>
    <row r="11" spans="1:3" s="459" customFormat="1" ht="12" customHeight="1">
      <c r="A11" s="462" t="s">
        <v>95</v>
      </c>
      <c r="B11" s="463" t="s">
        <v>272</v>
      </c>
      <c r="C11" s="597">
        <v>100000</v>
      </c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>
        <v>10</v>
      </c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>
        <v>1000</v>
      </c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678958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>
        <v>678958</v>
      </c>
    </row>
    <row r="24" spans="1:3" s="465" customFormat="1" ht="12" customHeight="1" thickBot="1">
      <c r="A24" s="462" t="s">
        <v>102</v>
      </c>
      <c r="B24" s="463" t="s">
        <v>516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/>
    </row>
    <row r="26" spans="1:3" s="465" customFormat="1" ht="12" customHeight="1" thickBot="1">
      <c r="A26" s="467" t="s">
        <v>17</v>
      </c>
      <c r="B26" s="468" t="s">
        <v>400</v>
      </c>
      <c r="C26" s="595">
        <f>+C27+C28</f>
        <v>0</v>
      </c>
    </row>
    <row r="27" spans="1:3" s="465" customFormat="1" ht="12" customHeight="1">
      <c r="A27" s="469" t="s">
        <v>257</v>
      </c>
      <c r="B27" s="470" t="s">
        <v>398</v>
      </c>
      <c r="C27" s="601"/>
    </row>
    <row r="28" spans="1:3" s="465" customFormat="1" ht="12" customHeight="1">
      <c r="A28" s="469" t="s">
        <v>260</v>
      </c>
      <c r="B28" s="471" t="s">
        <v>401</v>
      </c>
      <c r="C28" s="602"/>
    </row>
    <row r="29" spans="1:3" s="465" customFormat="1" ht="12" customHeight="1" thickBot="1">
      <c r="A29" s="462" t="s">
        <v>261</v>
      </c>
      <c r="B29" s="472" t="s">
        <v>517</v>
      </c>
      <c r="C29" s="603"/>
    </row>
    <row r="30" spans="1:3" s="465" customFormat="1" ht="12" customHeight="1" thickBot="1">
      <c r="A30" s="467" t="s">
        <v>18</v>
      </c>
      <c r="B30" s="468" t="s">
        <v>402</v>
      </c>
      <c r="C30" s="595">
        <f>+C31+C32+C33</f>
        <v>0</v>
      </c>
    </row>
    <row r="31" spans="1:3" s="465" customFormat="1" ht="12" customHeight="1">
      <c r="A31" s="469" t="s">
        <v>86</v>
      </c>
      <c r="B31" s="470" t="s">
        <v>284</v>
      </c>
      <c r="C31" s="601"/>
    </row>
    <row r="32" spans="1:3" s="465" customFormat="1" ht="12" customHeight="1">
      <c r="A32" s="469" t="s">
        <v>87</v>
      </c>
      <c r="B32" s="471" t="s">
        <v>285</v>
      </c>
      <c r="C32" s="602"/>
    </row>
    <row r="33" spans="1:3" s="465" customFormat="1" ht="12" customHeight="1" thickBot="1">
      <c r="A33" s="462" t="s">
        <v>88</v>
      </c>
      <c r="B33" s="472" t="s">
        <v>286</v>
      </c>
      <c r="C33" s="603"/>
    </row>
    <row r="34" spans="1:3" s="459" customFormat="1" ht="12" customHeight="1" thickBot="1">
      <c r="A34" s="467" t="s">
        <v>19</v>
      </c>
      <c r="B34" s="468" t="s">
        <v>371</v>
      </c>
      <c r="C34" s="600"/>
    </row>
    <row r="35" spans="1:3" s="459" customFormat="1" ht="12" customHeight="1" thickBot="1">
      <c r="A35" s="467" t="s">
        <v>20</v>
      </c>
      <c r="B35" s="468" t="s">
        <v>403</v>
      </c>
      <c r="C35" s="604"/>
    </row>
    <row r="36" spans="1:3" s="459" customFormat="1" ht="12" customHeight="1" thickBot="1">
      <c r="A36" s="453" t="s">
        <v>21</v>
      </c>
      <c r="B36" s="468" t="s">
        <v>518</v>
      </c>
      <c r="C36" s="605">
        <f>+C8+C20+C25+C26+C30+C34+C35</f>
        <v>2899968</v>
      </c>
    </row>
    <row r="37" spans="1:3" s="459" customFormat="1" ht="12" customHeight="1" thickBot="1">
      <c r="A37" s="473" t="s">
        <v>22</v>
      </c>
      <c r="B37" s="468" t="s">
        <v>405</v>
      </c>
      <c r="C37" s="605">
        <f>+C38+C39+C40</f>
        <v>54823559</v>
      </c>
    </row>
    <row r="38" spans="1:3" s="459" customFormat="1" ht="12" customHeight="1">
      <c r="A38" s="469" t="s">
        <v>406</v>
      </c>
      <c r="B38" s="470" t="s">
        <v>226</v>
      </c>
      <c r="C38" s="601"/>
    </row>
    <row r="39" spans="1:3" s="459" customFormat="1" ht="12" customHeight="1">
      <c r="A39" s="469" t="s">
        <v>407</v>
      </c>
      <c r="B39" s="471" t="s">
        <v>0</v>
      </c>
      <c r="C39" s="602"/>
    </row>
    <row r="40" spans="1:3" s="465" customFormat="1" ht="12" customHeight="1" thickBot="1">
      <c r="A40" s="462" t="s">
        <v>408</v>
      </c>
      <c r="B40" s="472" t="s">
        <v>409</v>
      </c>
      <c r="C40" s="603">
        <v>54823559</v>
      </c>
    </row>
    <row r="41" spans="1:3" s="465" customFormat="1" ht="15" customHeight="1" thickBot="1">
      <c r="A41" s="473" t="s">
        <v>23</v>
      </c>
      <c r="B41" s="474" t="s">
        <v>410</v>
      </c>
      <c r="C41" s="606">
        <f>+C36+C37</f>
        <v>57723527</v>
      </c>
    </row>
    <row r="42" spans="1:3" s="465" customFormat="1" ht="15" customHeight="1">
      <c r="A42" s="475"/>
      <c r="B42" s="476"/>
      <c r="C42" s="607"/>
    </row>
    <row r="43" spans="1:3" ht="13.5" thickBot="1">
      <c r="A43" s="477"/>
      <c r="B43" s="478"/>
      <c r="C43" s="608"/>
    </row>
    <row r="44" spans="1:3" s="455" customFormat="1" ht="16.5" customHeight="1" thickBot="1">
      <c r="A44" s="479"/>
      <c r="B44" s="480" t="s">
        <v>52</v>
      </c>
      <c r="C44" s="606"/>
    </row>
    <row r="45" spans="1:3" s="481" customFormat="1" ht="12" customHeight="1" thickBot="1">
      <c r="A45" s="467" t="s">
        <v>14</v>
      </c>
      <c r="B45" s="468" t="s">
        <v>411</v>
      </c>
      <c r="C45" s="595">
        <f>SUM(C46:C50)</f>
        <v>55210527</v>
      </c>
    </row>
    <row r="46" spans="1:3" ht="12" customHeight="1">
      <c r="A46" s="462" t="s">
        <v>93</v>
      </c>
      <c r="B46" s="466" t="s">
        <v>44</v>
      </c>
      <c r="C46" s="601">
        <v>21392976</v>
      </c>
    </row>
    <row r="47" spans="1:3" ht="12" customHeight="1">
      <c r="A47" s="462" t="s">
        <v>94</v>
      </c>
      <c r="B47" s="463" t="s">
        <v>172</v>
      </c>
      <c r="C47" s="609">
        <v>4668631</v>
      </c>
    </row>
    <row r="48" spans="1:3" ht="12" customHeight="1">
      <c r="A48" s="462" t="s">
        <v>95</v>
      </c>
      <c r="B48" s="463" t="s">
        <v>131</v>
      </c>
      <c r="C48" s="609">
        <v>29148920</v>
      </c>
    </row>
    <row r="49" spans="1:3" ht="12" customHeight="1">
      <c r="A49" s="462" t="s">
        <v>96</v>
      </c>
      <c r="B49" s="463" t="s">
        <v>173</v>
      </c>
      <c r="C49" s="609"/>
    </row>
    <row r="50" spans="1:3" ht="12" customHeight="1" thickBot="1">
      <c r="A50" s="462" t="s">
        <v>139</v>
      </c>
      <c r="B50" s="463" t="s">
        <v>174</v>
      </c>
      <c r="C50" s="609"/>
    </row>
    <row r="51" spans="1:3" ht="12" customHeight="1" thickBot="1">
      <c r="A51" s="467" t="s">
        <v>15</v>
      </c>
      <c r="B51" s="468" t="s">
        <v>412</v>
      </c>
      <c r="C51" s="595">
        <f>SUM(C52:C54)</f>
        <v>2513000</v>
      </c>
    </row>
    <row r="52" spans="1:3" s="481" customFormat="1" ht="12" customHeight="1">
      <c r="A52" s="462" t="s">
        <v>99</v>
      </c>
      <c r="B52" s="466" t="s">
        <v>217</v>
      </c>
      <c r="C52" s="601">
        <v>2513000</v>
      </c>
    </row>
    <row r="53" spans="1:3" ht="12" customHeight="1">
      <c r="A53" s="462" t="s">
        <v>100</v>
      </c>
      <c r="B53" s="463" t="s">
        <v>176</v>
      </c>
      <c r="C53" s="609"/>
    </row>
    <row r="54" spans="1:3" ht="12" customHeight="1">
      <c r="A54" s="462" t="s">
        <v>101</v>
      </c>
      <c r="B54" s="463" t="s">
        <v>53</v>
      </c>
      <c r="C54" s="609"/>
    </row>
    <row r="55" spans="1:3" ht="12" customHeight="1" thickBot="1">
      <c r="A55" s="462" t="s">
        <v>102</v>
      </c>
      <c r="B55" s="463" t="s">
        <v>515</v>
      </c>
      <c r="C55" s="609"/>
    </row>
    <row r="56" spans="1:3" ht="15" customHeight="1" thickBot="1">
      <c r="A56" s="467" t="s">
        <v>16</v>
      </c>
      <c r="B56" s="468" t="s">
        <v>10</v>
      </c>
      <c r="C56" s="600"/>
    </row>
    <row r="57" spans="1:3" ht="13.5" thickBot="1">
      <c r="A57" s="467" t="s">
        <v>17</v>
      </c>
      <c r="B57" s="482" t="s">
        <v>520</v>
      </c>
      <c r="C57" s="610">
        <f>+C45+C51+C56</f>
        <v>57723527</v>
      </c>
    </row>
    <row r="58" spans="1:3" ht="15" customHeight="1" thickBot="1">
      <c r="C58" s="612"/>
    </row>
    <row r="59" spans="1:3" ht="14.25" customHeight="1" thickBot="1">
      <c r="A59" s="484" t="s">
        <v>510</v>
      </c>
      <c r="B59" s="485"/>
      <c r="C59" s="613">
        <v>4</v>
      </c>
    </row>
    <row r="60" spans="1:3" ht="13.5" thickBot="1">
      <c r="A60" s="484" t="s">
        <v>194</v>
      </c>
      <c r="B60" s="485"/>
      <c r="C60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orientation="portrait" verticalDpi="300" r:id="rId1"/>
  <headerFooter alignWithMargins="0">
    <oddFooter>&amp;P. oldal, összesen: &amp;N</oddFooter>
  </headerFooter>
  <rowBreaks count="1" manualBreakCount="1">
    <brk id="4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indexed="57"/>
  </sheetPr>
  <dimension ref="A1:C60"/>
  <sheetViews>
    <sheetView zoomScaleNormal="100" workbookViewId="0">
      <selection activeCell="B1" sqref="B1"/>
    </sheetView>
  </sheetViews>
  <sheetFormatPr defaultRowHeight="12.75"/>
  <cols>
    <col min="1" max="1" width="13.83203125" style="611" customWidth="1"/>
    <col min="2" max="2" width="79.1640625" style="592" customWidth="1"/>
    <col min="3" max="3" width="25" style="592" customWidth="1"/>
    <col min="4" max="16384" width="9.33203125" style="592"/>
  </cols>
  <sheetData>
    <row r="1" spans="1:3" s="442" customFormat="1" ht="21" customHeight="1" thickBot="1">
      <c r="A1" s="440"/>
      <c r="B1" s="441" t="s">
        <v>730</v>
      </c>
      <c r="C1" s="441"/>
    </row>
    <row r="2" spans="1:3" s="445" customFormat="1" ht="32.25" customHeight="1">
      <c r="A2" s="443" t="s">
        <v>192</v>
      </c>
      <c r="B2" s="444" t="s">
        <v>538</v>
      </c>
      <c r="C2" s="589" t="s">
        <v>55</v>
      </c>
    </row>
    <row r="3" spans="1:3" s="445" customFormat="1" ht="24.75" thickBot="1">
      <c r="A3" s="446" t="s">
        <v>191</v>
      </c>
      <c r="B3" s="447" t="s">
        <v>414</v>
      </c>
      <c r="C3" s="590" t="s">
        <v>55</v>
      </c>
    </row>
    <row r="4" spans="1:3" s="449" customFormat="1" ht="15.95" customHeight="1" thickBot="1">
      <c r="A4" s="448"/>
      <c r="B4" s="448"/>
      <c r="C4" s="591" t="s">
        <v>589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/>
    </row>
    <row r="11" spans="1:3" s="459" customFormat="1" ht="12" customHeight="1">
      <c r="A11" s="462" t="s">
        <v>95</v>
      </c>
      <c r="B11" s="463" t="s">
        <v>272</v>
      </c>
      <c r="C11" s="597"/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/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/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0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/>
    </row>
    <row r="24" spans="1:3" s="465" customFormat="1" ht="12" customHeight="1" thickBot="1">
      <c r="A24" s="462" t="s">
        <v>102</v>
      </c>
      <c r="B24" s="463" t="s">
        <v>516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/>
    </row>
    <row r="26" spans="1:3" s="465" customFormat="1" ht="12" customHeight="1" thickBot="1">
      <c r="A26" s="467" t="s">
        <v>17</v>
      </c>
      <c r="B26" s="468" t="s">
        <v>400</v>
      </c>
      <c r="C26" s="595">
        <f>+C27+C28</f>
        <v>0</v>
      </c>
    </row>
    <row r="27" spans="1:3" s="465" customFormat="1" ht="12" customHeight="1">
      <c r="A27" s="469" t="s">
        <v>257</v>
      </c>
      <c r="B27" s="470" t="s">
        <v>398</v>
      </c>
      <c r="C27" s="601"/>
    </row>
    <row r="28" spans="1:3" s="465" customFormat="1" ht="12" customHeight="1">
      <c r="A28" s="469" t="s">
        <v>260</v>
      </c>
      <c r="B28" s="471" t="s">
        <v>401</v>
      </c>
      <c r="C28" s="602"/>
    </row>
    <row r="29" spans="1:3" s="465" customFormat="1" ht="12" customHeight="1" thickBot="1">
      <c r="A29" s="462" t="s">
        <v>261</v>
      </c>
      <c r="B29" s="472" t="s">
        <v>517</v>
      </c>
      <c r="C29" s="603"/>
    </row>
    <row r="30" spans="1:3" s="465" customFormat="1" ht="12" customHeight="1" thickBot="1">
      <c r="A30" s="467" t="s">
        <v>18</v>
      </c>
      <c r="B30" s="468" t="s">
        <v>402</v>
      </c>
      <c r="C30" s="595">
        <f>+C31+C32+C33</f>
        <v>0</v>
      </c>
    </row>
    <row r="31" spans="1:3" s="465" customFormat="1" ht="12" customHeight="1">
      <c r="A31" s="469" t="s">
        <v>86</v>
      </c>
      <c r="B31" s="470" t="s">
        <v>284</v>
      </c>
      <c r="C31" s="601"/>
    </row>
    <row r="32" spans="1:3" s="465" customFormat="1" ht="12" customHeight="1">
      <c r="A32" s="469" t="s">
        <v>87</v>
      </c>
      <c r="B32" s="471" t="s">
        <v>285</v>
      </c>
      <c r="C32" s="602"/>
    </row>
    <row r="33" spans="1:3" s="465" customFormat="1" ht="12" customHeight="1" thickBot="1">
      <c r="A33" s="462" t="s">
        <v>88</v>
      </c>
      <c r="B33" s="472" t="s">
        <v>286</v>
      </c>
      <c r="C33" s="603"/>
    </row>
    <row r="34" spans="1:3" s="459" customFormat="1" ht="12" customHeight="1" thickBot="1">
      <c r="A34" s="467" t="s">
        <v>19</v>
      </c>
      <c r="B34" s="468" t="s">
        <v>371</v>
      </c>
      <c r="C34" s="600"/>
    </row>
    <row r="35" spans="1:3" s="459" customFormat="1" ht="12" customHeight="1" thickBot="1">
      <c r="A35" s="467" t="s">
        <v>20</v>
      </c>
      <c r="B35" s="468" t="s">
        <v>403</v>
      </c>
      <c r="C35" s="604"/>
    </row>
    <row r="36" spans="1:3" s="459" customFormat="1" ht="12" customHeight="1" thickBot="1">
      <c r="A36" s="453" t="s">
        <v>21</v>
      </c>
      <c r="B36" s="468" t="s">
        <v>518</v>
      </c>
      <c r="C36" s="605">
        <f>+C8+C20+C25+C26+C30+C34+C35</f>
        <v>0</v>
      </c>
    </row>
    <row r="37" spans="1:3" s="459" customFormat="1" ht="12" customHeight="1" thickBot="1">
      <c r="A37" s="473" t="s">
        <v>22</v>
      </c>
      <c r="B37" s="468" t="s">
        <v>405</v>
      </c>
      <c r="C37" s="605">
        <f>+C38+C39+C40</f>
        <v>0</v>
      </c>
    </row>
    <row r="38" spans="1:3" s="459" customFormat="1" ht="12" customHeight="1">
      <c r="A38" s="469" t="s">
        <v>406</v>
      </c>
      <c r="B38" s="470" t="s">
        <v>226</v>
      </c>
      <c r="C38" s="601"/>
    </row>
    <row r="39" spans="1:3" s="459" customFormat="1" ht="12" customHeight="1">
      <c r="A39" s="469" t="s">
        <v>407</v>
      </c>
      <c r="B39" s="471" t="s">
        <v>0</v>
      </c>
      <c r="C39" s="602"/>
    </row>
    <row r="40" spans="1:3" s="465" customFormat="1" ht="12" customHeight="1" thickBot="1">
      <c r="A40" s="462" t="s">
        <v>408</v>
      </c>
      <c r="B40" s="472" t="s">
        <v>409</v>
      </c>
      <c r="C40" s="603"/>
    </row>
    <row r="41" spans="1:3" s="465" customFormat="1" ht="15" customHeight="1" thickBot="1">
      <c r="A41" s="473" t="s">
        <v>23</v>
      </c>
      <c r="B41" s="474" t="s">
        <v>410</v>
      </c>
      <c r="C41" s="606">
        <f>+C36+C37</f>
        <v>0</v>
      </c>
    </row>
    <row r="42" spans="1:3" s="465" customFormat="1" ht="15" customHeight="1">
      <c r="A42" s="475"/>
      <c r="B42" s="476"/>
      <c r="C42" s="607"/>
    </row>
    <row r="43" spans="1:3" ht="13.5" thickBot="1">
      <c r="A43" s="477"/>
      <c r="B43" s="478"/>
      <c r="C43" s="608"/>
    </row>
    <row r="44" spans="1:3" s="455" customFormat="1" ht="16.5" customHeight="1" thickBot="1">
      <c r="A44" s="479"/>
      <c r="B44" s="480" t="s">
        <v>52</v>
      </c>
      <c r="C44" s="606"/>
    </row>
    <row r="45" spans="1:3" s="481" customFormat="1" ht="12" customHeight="1" thickBot="1">
      <c r="A45" s="467" t="s">
        <v>14</v>
      </c>
      <c r="B45" s="468" t="s">
        <v>411</v>
      </c>
      <c r="C45" s="595">
        <f>SUM(C46:C50)</f>
        <v>0</v>
      </c>
    </row>
    <row r="46" spans="1:3" ht="12" customHeight="1">
      <c r="A46" s="462" t="s">
        <v>93</v>
      </c>
      <c r="B46" s="466" t="s">
        <v>44</v>
      </c>
      <c r="C46" s="601"/>
    </row>
    <row r="47" spans="1:3" ht="12" customHeight="1">
      <c r="A47" s="462" t="s">
        <v>94</v>
      </c>
      <c r="B47" s="463" t="s">
        <v>172</v>
      </c>
      <c r="C47" s="609"/>
    </row>
    <row r="48" spans="1:3" ht="12" customHeight="1">
      <c r="A48" s="462" t="s">
        <v>95</v>
      </c>
      <c r="B48" s="463" t="s">
        <v>131</v>
      </c>
      <c r="C48" s="609"/>
    </row>
    <row r="49" spans="1:3" ht="12" customHeight="1">
      <c r="A49" s="462" t="s">
        <v>96</v>
      </c>
      <c r="B49" s="463" t="s">
        <v>173</v>
      </c>
      <c r="C49" s="609"/>
    </row>
    <row r="50" spans="1:3" ht="12" customHeight="1" thickBot="1">
      <c r="A50" s="462" t="s">
        <v>139</v>
      </c>
      <c r="B50" s="463" t="s">
        <v>174</v>
      </c>
      <c r="C50" s="609"/>
    </row>
    <row r="51" spans="1:3" ht="12" customHeight="1" thickBot="1">
      <c r="A51" s="467" t="s">
        <v>15</v>
      </c>
      <c r="B51" s="468" t="s">
        <v>412</v>
      </c>
      <c r="C51" s="595">
        <f>SUM(C52:C54)</f>
        <v>0</v>
      </c>
    </row>
    <row r="52" spans="1:3" s="481" customFormat="1" ht="12" customHeight="1">
      <c r="A52" s="462" t="s">
        <v>99</v>
      </c>
      <c r="B52" s="466" t="s">
        <v>217</v>
      </c>
      <c r="C52" s="601"/>
    </row>
    <row r="53" spans="1:3" ht="12" customHeight="1">
      <c r="A53" s="462" t="s">
        <v>100</v>
      </c>
      <c r="B53" s="463" t="s">
        <v>176</v>
      </c>
      <c r="C53" s="609"/>
    </row>
    <row r="54" spans="1:3" ht="12" customHeight="1">
      <c r="A54" s="462" t="s">
        <v>101</v>
      </c>
      <c r="B54" s="463" t="s">
        <v>53</v>
      </c>
      <c r="C54" s="609"/>
    </row>
    <row r="55" spans="1:3" ht="12" customHeight="1" thickBot="1">
      <c r="A55" s="462" t="s">
        <v>102</v>
      </c>
      <c r="B55" s="463" t="s">
        <v>515</v>
      </c>
      <c r="C55" s="609"/>
    </row>
    <row r="56" spans="1:3" ht="15" customHeight="1" thickBot="1">
      <c r="A56" s="467" t="s">
        <v>16</v>
      </c>
      <c r="B56" s="468" t="s">
        <v>10</v>
      </c>
      <c r="C56" s="600"/>
    </row>
    <row r="57" spans="1:3" ht="13.5" thickBot="1">
      <c r="A57" s="467" t="s">
        <v>17</v>
      </c>
      <c r="B57" s="482" t="s">
        <v>520</v>
      </c>
      <c r="C57" s="610">
        <f>+C45+C51+C56</f>
        <v>0</v>
      </c>
    </row>
    <row r="58" spans="1:3" ht="15" customHeight="1" thickBot="1">
      <c r="C58" s="612"/>
    </row>
    <row r="59" spans="1:3" ht="14.25" customHeight="1" thickBot="1">
      <c r="A59" s="484" t="s">
        <v>510</v>
      </c>
      <c r="B59" s="485"/>
      <c r="C59" s="613"/>
    </row>
    <row r="60" spans="1:3" ht="13.5" thickBot="1">
      <c r="A60" s="484" t="s">
        <v>194</v>
      </c>
      <c r="B60" s="485"/>
      <c r="C60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indexed="57"/>
  </sheetPr>
  <dimension ref="A1:C60"/>
  <sheetViews>
    <sheetView tabSelected="1" zoomScaleNormal="100" workbookViewId="0">
      <selection activeCell="B1" sqref="B1"/>
    </sheetView>
  </sheetViews>
  <sheetFormatPr defaultRowHeight="12.75"/>
  <cols>
    <col min="1" max="1" width="13.83203125" style="611" customWidth="1"/>
    <col min="2" max="2" width="79.1640625" style="592" customWidth="1"/>
    <col min="3" max="3" width="25" style="592" customWidth="1"/>
    <col min="4" max="16384" width="9.33203125" style="592"/>
  </cols>
  <sheetData>
    <row r="1" spans="1:3" ht="13.5" thickBot="1">
      <c r="B1" s="441" t="s">
        <v>731</v>
      </c>
    </row>
    <row r="2" spans="1:3" s="445" customFormat="1" ht="33" customHeight="1">
      <c r="A2" s="443" t="s">
        <v>192</v>
      </c>
      <c r="B2" s="444" t="s">
        <v>538</v>
      </c>
      <c r="C2" s="589" t="s">
        <v>55</v>
      </c>
    </row>
    <row r="3" spans="1:3" s="445" customFormat="1" ht="24.75" thickBot="1">
      <c r="A3" s="446" t="s">
        <v>191</v>
      </c>
      <c r="B3" s="447" t="s">
        <v>521</v>
      </c>
      <c r="C3" s="590" t="s">
        <v>425</v>
      </c>
    </row>
    <row r="4" spans="1:3" s="449" customFormat="1" ht="15.95" customHeight="1" thickBot="1">
      <c r="A4" s="448"/>
      <c r="B4" s="448"/>
      <c r="C4" s="591" t="s">
        <v>589</v>
      </c>
    </row>
    <row r="5" spans="1:3" ht="26.25" thickBot="1">
      <c r="A5" s="450" t="s">
        <v>193</v>
      </c>
      <c r="B5" s="451" t="s">
        <v>50</v>
      </c>
      <c r="C5" s="563" t="s">
        <v>692</v>
      </c>
    </row>
    <row r="6" spans="1:3" s="455" customFormat="1" ht="12.95" customHeight="1" thickBot="1">
      <c r="A6" s="453" t="s">
        <v>483</v>
      </c>
      <c r="B6" s="454" t="s">
        <v>484</v>
      </c>
      <c r="C6" s="593" t="s">
        <v>485</v>
      </c>
    </row>
    <row r="7" spans="1:3" s="455" customFormat="1" ht="15.95" customHeight="1" thickBot="1">
      <c r="A7" s="456"/>
      <c r="B7" s="457" t="s">
        <v>51</v>
      </c>
      <c r="C7" s="594"/>
    </row>
    <row r="8" spans="1:3" s="459" customFormat="1" ht="12" customHeight="1" thickBot="1">
      <c r="A8" s="453" t="s">
        <v>14</v>
      </c>
      <c r="B8" s="458" t="s">
        <v>511</v>
      </c>
      <c r="C8" s="595">
        <f>SUM(C9:C19)</f>
        <v>0</v>
      </c>
    </row>
    <row r="9" spans="1:3" s="459" customFormat="1" ht="12" customHeight="1">
      <c r="A9" s="460" t="s">
        <v>93</v>
      </c>
      <c r="B9" s="461" t="s">
        <v>270</v>
      </c>
      <c r="C9" s="596"/>
    </row>
    <row r="10" spans="1:3" s="459" customFormat="1" ht="12" customHeight="1">
      <c r="A10" s="462" t="s">
        <v>94</v>
      </c>
      <c r="B10" s="463" t="s">
        <v>271</v>
      </c>
      <c r="C10" s="597"/>
    </row>
    <row r="11" spans="1:3" s="459" customFormat="1" ht="12" customHeight="1">
      <c r="A11" s="462" t="s">
        <v>95</v>
      </c>
      <c r="B11" s="463" t="s">
        <v>272</v>
      </c>
      <c r="C11" s="597"/>
    </row>
    <row r="12" spans="1:3" s="459" customFormat="1" ht="12" customHeight="1">
      <c r="A12" s="462" t="s">
        <v>96</v>
      </c>
      <c r="B12" s="463" t="s">
        <v>273</v>
      </c>
      <c r="C12" s="597"/>
    </row>
    <row r="13" spans="1:3" s="459" customFormat="1" ht="12" customHeight="1">
      <c r="A13" s="462" t="s">
        <v>139</v>
      </c>
      <c r="B13" s="463" t="s">
        <v>274</v>
      </c>
      <c r="C13" s="597"/>
    </row>
    <row r="14" spans="1:3" s="459" customFormat="1" ht="12" customHeight="1">
      <c r="A14" s="462" t="s">
        <v>97</v>
      </c>
      <c r="B14" s="463" t="s">
        <v>395</v>
      </c>
      <c r="C14" s="597"/>
    </row>
    <row r="15" spans="1:3" s="459" customFormat="1" ht="12" customHeight="1">
      <c r="A15" s="462" t="s">
        <v>98</v>
      </c>
      <c r="B15" s="464" t="s">
        <v>396</v>
      </c>
      <c r="C15" s="597"/>
    </row>
    <row r="16" spans="1:3" s="459" customFormat="1" ht="12" customHeight="1">
      <c r="A16" s="462" t="s">
        <v>108</v>
      </c>
      <c r="B16" s="463" t="s">
        <v>277</v>
      </c>
      <c r="C16" s="598"/>
    </row>
    <row r="17" spans="1:3" s="465" customFormat="1" ht="12" customHeight="1">
      <c r="A17" s="462" t="s">
        <v>109</v>
      </c>
      <c r="B17" s="463" t="s">
        <v>278</v>
      </c>
      <c r="C17" s="597"/>
    </row>
    <row r="18" spans="1:3" s="465" customFormat="1" ht="12" customHeight="1">
      <c r="A18" s="462" t="s">
        <v>110</v>
      </c>
      <c r="B18" s="463" t="s">
        <v>430</v>
      </c>
      <c r="C18" s="599"/>
    </row>
    <row r="19" spans="1:3" s="465" customFormat="1" ht="12" customHeight="1" thickBot="1">
      <c r="A19" s="462" t="s">
        <v>111</v>
      </c>
      <c r="B19" s="464" t="s">
        <v>279</v>
      </c>
      <c r="C19" s="599"/>
    </row>
    <row r="20" spans="1:3" s="459" customFormat="1" ht="12" customHeight="1" thickBot="1">
      <c r="A20" s="453" t="s">
        <v>15</v>
      </c>
      <c r="B20" s="458" t="s">
        <v>397</v>
      </c>
      <c r="C20" s="595">
        <f>SUM(C21:C23)</f>
        <v>0</v>
      </c>
    </row>
    <row r="21" spans="1:3" s="465" customFormat="1" ht="12" customHeight="1">
      <c r="A21" s="462" t="s">
        <v>99</v>
      </c>
      <c r="B21" s="466" t="s">
        <v>247</v>
      </c>
      <c r="C21" s="597"/>
    </row>
    <row r="22" spans="1:3" s="465" customFormat="1" ht="12" customHeight="1">
      <c r="A22" s="462" t="s">
        <v>100</v>
      </c>
      <c r="B22" s="463" t="s">
        <v>398</v>
      </c>
      <c r="C22" s="597"/>
    </row>
    <row r="23" spans="1:3" s="465" customFormat="1" ht="12" customHeight="1">
      <c r="A23" s="462" t="s">
        <v>101</v>
      </c>
      <c r="B23" s="463" t="s">
        <v>399</v>
      </c>
      <c r="C23" s="597"/>
    </row>
    <row r="24" spans="1:3" s="465" customFormat="1" ht="12" customHeight="1" thickBot="1">
      <c r="A24" s="462" t="s">
        <v>102</v>
      </c>
      <c r="B24" s="463" t="s">
        <v>516</v>
      </c>
      <c r="C24" s="597"/>
    </row>
    <row r="25" spans="1:3" s="465" customFormat="1" ht="12" customHeight="1" thickBot="1">
      <c r="A25" s="467" t="s">
        <v>16</v>
      </c>
      <c r="B25" s="468" t="s">
        <v>163</v>
      </c>
      <c r="C25" s="600"/>
    </row>
    <row r="26" spans="1:3" s="465" customFormat="1" ht="12" customHeight="1" thickBot="1">
      <c r="A26" s="467" t="s">
        <v>17</v>
      </c>
      <c r="B26" s="468" t="s">
        <v>400</v>
      </c>
      <c r="C26" s="595">
        <f>+C27+C28</f>
        <v>0</v>
      </c>
    </row>
    <row r="27" spans="1:3" s="465" customFormat="1" ht="12" customHeight="1">
      <c r="A27" s="469" t="s">
        <v>257</v>
      </c>
      <c r="B27" s="470" t="s">
        <v>398</v>
      </c>
      <c r="C27" s="601"/>
    </row>
    <row r="28" spans="1:3" s="465" customFormat="1" ht="12" customHeight="1">
      <c r="A28" s="469" t="s">
        <v>260</v>
      </c>
      <c r="B28" s="471" t="s">
        <v>401</v>
      </c>
      <c r="C28" s="602"/>
    </row>
    <row r="29" spans="1:3" s="465" customFormat="1" ht="12" customHeight="1" thickBot="1">
      <c r="A29" s="462" t="s">
        <v>261</v>
      </c>
      <c r="B29" s="472" t="s">
        <v>517</v>
      </c>
      <c r="C29" s="603"/>
    </row>
    <row r="30" spans="1:3" s="465" customFormat="1" ht="12" customHeight="1" thickBot="1">
      <c r="A30" s="467" t="s">
        <v>18</v>
      </c>
      <c r="B30" s="468" t="s">
        <v>402</v>
      </c>
      <c r="C30" s="595">
        <f>+C31+C32+C33</f>
        <v>0</v>
      </c>
    </row>
    <row r="31" spans="1:3" s="465" customFormat="1" ht="12" customHeight="1">
      <c r="A31" s="469" t="s">
        <v>86</v>
      </c>
      <c r="B31" s="470" t="s">
        <v>284</v>
      </c>
      <c r="C31" s="601"/>
    </row>
    <row r="32" spans="1:3" s="465" customFormat="1" ht="12" customHeight="1">
      <c r="A32" s="469" t="s">
        <v>87</v>
      </c>
      <c r="B32" s="471" t="s">
        <v>285</v>
      </c>
      <c r="C32" s="602"/>
    </row>
    <row r="33" spans="1:3" s="465" customFormat="1" ht="12" customHeight="1" thickBot="1">
      <c r="A33" s="462" t="s">
        <v>88</v>
      </c>
      <c r="B33" s="472" t="s">
        <v>286</v>
      </c>
      <c r="C33" s="603"/>
    </row>
    <row r="34" spans="1:3" s="459" customFormat="1" ht="12" customHeight="1" thickBot="1">
      <c r="A34" s="467" t="s">
        <v>19</v>
      </c>
      <c r="B34" s="468" t="s">
        <v>371</v>
      </c>
      <c r="C34" s="600"/>
    </row>
    <row r="35" spans="1:3" s="459" customFormat="1" ht="12" customHeight="1" thickBot="1">
      <c r="A35" s="467" t="s">
        <v>20</v>
      </c>
      <c r="B35" s="468" t="s">
        <v>403</v>
      </c>
      <c r="C35" s="604"/>
    </row>
    <row r="36" spans="1:3" s="459" customFormat="1" ht="12" customHeight="1" thickBot="1">
      <c r="A36" s="453" t="s">
        <v>21</v>
      </c>
      <c r="B36" s="468" t="s">
        <v>518</v>
      </c>
      <c r="C36" s="605">
        <f>+C8+C20+C25+C26+C30+C34+C35</f>
        <v>0</v>
      </c>
    </row>
    <row r="37" spans="1:3" s="459" customFormat="1" ht="12" customHeight="1" thickBot="1">
      <c r="A37" s="473" t="s">
        <v>22</v>
      </c>
      <c r="B37" s="468" t="s">
        <v>405</v>
      </c>
      <c r="C37" s="605">
        <f>+C38+C39+C40</f>
        <v>0</v>
      </c>
    </row>
    <row r="38" spans="1:3" s="459" customFormat="1" ht="12" customHeight="1">
      <c r="A38" s="469" t="s">
        <v>406</v>
      </c>
      <c r="B38" s="470" t="s">
        <v>226</v>
      </c>
      <c r="C38" s="601"/>
    </row>
    <row r="39" spans="1:3" s="459" customFormat="1" ht="12" customHeight="1">
      <c r="A39" s="469" t="s">
        <v>407</v>
      </c>
      <c r="B39" s="471" t="s">
        <v>0</v>
      </c>
      <c r="C39" s="602"/>
    </row>
    <row r="40" spans="1:3" s="465" customFormat="1" ht="12" customHeight="1" thickBot="1">
      <c r="A40" s="462" t="s">
        <v>408</v>
      </c>
      <c r="B40" s="472" t="s">
        <v>409</v>
      </c>
      <c r="C40" s="603"/>
    </row>
    <row r="41" spans="1:3" s="465" customFormat="1" ht="15" customHeight="1" thickBot="1">
      <c r="A41" s="473" t="s">
        <v>23</v>
      </c>
      <c r="B41" s="474" t="s">
        <v>410</v>
      </c>
      <c r="C41" s="606">
        <f>+C36+C37</f>
        <v>0</v>
      </c>
    </row>
    <row r="42" spans="1:3" s="465" customFormat="1" ht="15" customHeight="1">
      <c r="A42" s="475"/>
      <c r="B42" s="476"/>
      <c r="C42" s="607"/>
    </row>
    <row r="43" spans="1:3" ht="13.5" thickBot="1">
      <c r="A43" s="477"/>
      <c r="B43" s="478"/>
      <c r="C43" s="608"/>
    </row>
    <row r="44" spans="1:3" s="455" customFormat="1" ht="16.5" customHeight="1" thickBot="1">
      <c r="A44" s="479"/>
      <c r="B44" s="480" t="s">
        <v>52</v>
      </c>
      <c r="C44" s="606"/>
    </row>
    <row r="45" spans="1:3" s="481" customFormat="1" ht="12" customHeight="1" thickBot="1">
      <c r="A45" s="467" t="s">
        <v>14</v>
      </c>
      <c r="B45" s="468" t="s">
        <v>411</v>
      </c>
      <c r="C45" s="595">
        <f>SUM(C46:C50)</f>
        <v>0</v>
      </c>
    </row>
    <row r="46" spans="1:3" ht="12" customHeight="1">
      <c r="A46" s="462" t="s">
        <v>93</v>
      </c>
      <c r="B46" s="466" t="s">
        <v>44</v>
      </c>
      <c r="C46" s="601"/>
    </row>
    <row r="47" spans="1:3" ht="12" customHeight="1">
      <c r="A47" s="462" t="s">
        <v>94</v>
      </c>
      <c r="B47" s="463" t="s">
        <v>172</v>
      </c>
      <c r="C47" s="609"/>
    </row>
    <row r="48" spans="1:3" ht="12" customHeight="1">
      <c r="A48" s="462" t="s">
        <v>95</v>
      </c>
      <c r="B48" s="463" t="s">
        <v>131</v>
      </c>
      <c r="C48" s="609"/>
    </row>
    <row r="49" spans="1:3" ht="12" customHeight="1">
      <c r="A49" s="462" t="s">
        <v>96</v>
      </c>
      <c r="B49" s="463" t="s">
        <v>173</v>
      </c>
      <c r="C49" s="609"/>
    </row>
    <row r="50" spans="1:3" ht="12" customHeight="1" thickBot="1">
      <c r="A50" s="462" t="s">
        <v>139</v>
      </c>
      <c r="B50" s="463" t="s">
        <v>174</v>
      </c>
      <c r="C50" s="609"/>
    </row>
    <row r="51" spans="1:3" ht="12" customHeight="1" thickBot="1">
      <c r="A51" s="467" t="s">
        <v>15</v>
      </c>
      <c r="B51" s="468" t="s">
        <v>412</v>
      </c>
      <c r="C51" s="595">
        <f>SUM(C52:C54)</f>
        <v>0</v>
      </c>
    </row>
    <row r="52" spans="1:3" s="481" customFormat="1" ht="12" customHeight="1">
      <c r="A52" s="462" t="s">
        <v>99</v>
      </c>
      <c r="B52" s="466" t="s">
        <v>217</v>
      </c>
      <c r="C52" s="601"/>
    </row>
    <row r="53" spans="1:3" ht="12" customHeight="1">
      <c r="A53" s="462" t="s">
        <v>100</v>
      </c>
      <c r="B53" s="463" t="s">
        <v>176</v>
      </c>
      <c r="C53" s="609"/>
    </row>
    <row r="54" spans="1:3" ht="12" customHeight="1">
      <c r="A54" s="462" t="s">
        <v>101</v>
      </c>
      <c r="B54" s="463" t="s">
        <v>53</v>
      </c>
      <c r="C54" s="609"/>
    </row>
    <row r="55" spans="1:3" ht="12" customHeight="1" thickBot="1">
      <c r="A55" s="462" t="s">
        <v>102</v>
      </c>
      <c r="B55" s="463" t="s">
        <v>515</v>
      </c>
      <c r="C55" s="609"/>
    </row>
    <row r="56" spans="1:3" ht="15" customHeight="1" thickBot="1">
      <c r="A56" s="467" t="s">
        <v>16</v>
      </c>
      <c r="B56" s="468" t="s">
        <v>10</v>
      </c>
      <c r="C56" s="600"/>
    </row>
    <row r="57" spans="1:3" ht="13.5" thickBot="1">
      <c r="A57" s="467" t="s">
        <v>17</v>
      </c>
      <c r="B57" s="482" t="s">
        <v>520</v>
      </c>
      <c r="C57" s="610">
        <f>+C45+C51+C56</f>
        <v>0</v>
      </c>
    </row>
    <row r="58" spans="1:3" ht="15" customHeight="1" thickBot="1">
      <c r="C58" s="612"/>
    </row>
    <row r="59" spans="1:3" ht="14.25" customHeight="1" thickBot="1">
      <c r="A59" s="484" t="s">
        <v>510</v>
      </c>
      <c r="B59" s="485"/>
      <c r="C59" s="613"/>
    </row>
    <row r="60" spans="1:3" ht="13.5" thickBot="1">
      <c r="A60" s="484" t="s">
        <v>194</v>
      </c>
      <c r="B60" s="485"/>
      <c r="C60" s="6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7">
    <tabColor rgb="FFFFFF00"/>
  </sheetPr>
  <dimension ref="A1:G26"/>
  <sheetViews>
    <sheetView zoomScaleNormal="100" workbookViewId="0">
      <selection activeCell="A8" sqref="A8"/>
    </sheetView>
  </sheetViews>
  <sheetFormatPr defaultRowHeight="12.75"/>
  <cols>
    <col min="1" max="1" width="5.5" style="221" customWidth="1"/>
    <col min="2" max="2" width="33.1640625" style="221" customWidth="1"/>
    <col min="3" max="3" width="12.33203125" style="221" customWidth="1"/>
    <col min="4" max="4" width="11.5" style="221" customWidth="1"/>
    <col min="5" max="5" width="11.33203125" style="221" customWidth="1"/>
    <col min="6" max="6" width="11" style="221" customWidth="1"/>
    <col min="7" max="7" width="14.33203125" style="221" customWidth="1"/>
    <col min="8" max="16384" width="9.33203125" style="221"/>
  </cols>
  <sheetData>
    <row r="1" spans="1:7" ht="43.5" customHeight="1">
      <c r="A1" s="826" t="s">
        <v>1</v>
      </c>
      <c r="B1" s="826"/>
      <c r="C1" s="826"/>
      <c r="D1" s="826"/>
      <c r="E1" s="826"/>
      <c r="F1" s="826"/>
      <c r="G1" s="826"/>
    </row>
    <row r="3" spans="1:7" s="277" customFormat="1" ht="27" customHeight="1">
      <c r="A3" s="275" t="s">
        <v>198</v>
      </c>
      <c r="B3" s="276"/>
      <c r="C3" s="825" t="s">
        <v>536</v>
      </c>
      <c r="D3" s="825"/>
      <c r="E3" s="825"/>
      <c r="F3" s="825"/>
      <c r="G3" s="825"/>
    </row>
    <row r="4" spans="1:7" s="277" customFormat="1" ht="15.75">
      <c r="A4" s="276"/>
      <c r="B4" s="276"/>
      <c r="C4" s="276"/>
      <c r="D4" s="276"/>
      <c r="E4" s="276"/>
      <c r="F4" s="276"/>
      <c r="G4" s="276"/>
    </row>
    <row r="5" spans="1:7" s="277" customFormat="1" ht="24.75" customHeight="1">
      <c r="A5" s="275" t="s">
        <v>199</v>
      </c>
      <c r="B5" s="276"/>
      <c r="C5" s="825" t="s">
        <v>553</v>
      </c>
      <c r="D5" s="825"/>
      <c r="E5" s="825"/>
      <c r="F5" s="825"/>
      <c r="G5" s="276"/>
    </row>
    <row r="6" spans="1:7" s="278" customFormat="1">
      <c r="A6" s="220"/>
      <c r="B6" s="220"/>
      <c r="C6" s="220"/>
      <c r="D6" s="220"/>
      <c r="E6" s="220"/>
      <c r="F6" s="220"/>
      <c r="G6" s="220"/>
    </row>
    <row r="7" spans="1:7" s="282" customFormat="1" ht="15" customHeight="1">
      <c r="A7" s="279" t="s">
        <v>713</v>
      </c>
      <c r="B7" s="280"/>
      <c r="C7" s="280"/>
      <c r="D7" s="281"/>
      <c r="E7" s="281"/>
      <c r="F7" s="281"/>
      <c r="G7" s="281"/>
    </row>
    <row r="8" spans="1:7" s="282" customFormat="1" ht="15" customHeight="1" thickBot="1">
      <c r="A8" s="279" t="s">
        <v>200</v>
      </c>
      <c r="B8" s="281"/>
      <c r="C8" s="281"/>
      <c r="D8" s="281"/>
      <c r="E8" s="281"/>
      <c r="F8" s="281"/>
      <c r="G8" s="281"/>
    </row>
    <row r="9" spans="1:7" s="286" customFormat="1" ht="42" customHeight="1" thickBot="1">
      <c r="A9" s="283" t="s">
        <v>12</v>
      </c>
      <c r="B9" s="284" t="s">
        <v>201</v>
      </c>
      <c r="C9" s="284" t="s">
        <v>202</v>
      </c>
      <c r="D9" s="284" t="s">
        <v>203</v>
      </c>
      <c r="E9" s="284" t="s">
        <v>204</v>
      </c>
      <c r="F9" s="284" t="s">
        <v>205</v>
      </c>
      <c r="G9" s="285" t="s">
        <v>48</v>
      </c>
    </row>
    <row r="10" spans="1:7" ht="24" customHeight="1">
      <c r="A10" s="287" t="s">
        <v>14</v>
      </c>
      <c r="B10" s="288" t="s">
        <v>206</v>
      </c>
      <c r="C10" s="289"/>
      <c r="D10" s="289"/>
      <c r="E10" s="289"/>
      <c r="F10" s="289"/>
      <c r="G10" s="290">
        <f>SUM(C10:F10)</f>
        <v>0</v>
      </c>
    </row>
    <row r="11" spans="1:7" ht="24" customHeight="1">
      <c r="A11" s="291" t="s">
        <v>15</v>
      </c>
      <c r="B11" s="292" t="s">
        <v>207</v>
      </c>
      <c r="C11" s="293"/>
      <c r="D11" s="293"/>
      <c r="E11" s="293"/>
      <c r="F11" s="293"/>
      <c r="G11" s="294">
        <f t="shared" ref="G11:G16" si="0">SUM(C11:F11)</f>
        <v>0</v>
      </c>
    </row>
    <row r="12" spans="1:7" ht="24" customHeight="1">
      <c r="A12" s="291" t="s">
        <v>16</v>
      </c>
      <c r="B12" s="292" t="s">
        <v>208</v>
      </c>
      <c r="C12" s="293"/>
      <c r="D12" s="293"/>
      <c r="E12" s="293"/>
      <c r="F12" s="293"/>
      <c r="G12" s="294">
        <f t="shared" si="0"/>
        <v>0</v>
      </c>
    </row>
    <row r="13" spans="1:7" ht="24" customHeight="1">
      <c r="A13" s="291" t="s">
        <v>17</v>
      </c>
      <c r="B13" s="292" t="s">
        <v>209</v>
      </c>
      <c r="C13" s="293"/>
      <c r="D13" s="293"/>
      <c r="E13" s="293"/>
      <c r="F13" s="293"/>
      <c r="G13" s="294">
        <f t="shared" si="0"/>
        <v>0</v>
      </c>
    </row>
    <row r="14" spans="1:7" ht="24" customHeight="1">
      <c r="A14" s="291" t="s">
        <v>18</v>
      </c>
      <c r="B14" s="292" t="s">
        <v>210</v>
      </c>
      <c r="C14" s="293"/>
      <c r="D14" s="293"/>
      <c r="E14" s="293"/>
      <c r="F14" s="293"/>
      <c r="G14" s="294">
        <f t="shared" si="0"/>
        <v>0</v>
      </c>
    </row>
    <row r="15" spans="1:7" ht="24" customHeight="1" thickBot="1">
      <c r="A15" s="295" t="s">
        <v>19</v>
      </c>
      <c r="B15" s="296" t="s">
        <v>211</v>
      </c>
      <c r="C15" s="297"/>
      <c r="D15" s="297"/>
      <c r="E15" s="297"/>
      <c r="F15" s="297"/>
      <c r="G15" s="298">
        <f t="shared" si="0"/>
        <v>0</v>
      </c>
    </row>
    <row r="16" spans="1:7" s="303" customFormat="1" ht="24" customHeight="1" thickBot="1">
      <c r="A16" s="299" t="s">
        <v>20</v>
      </c>
      <c r="B16" s="300" t="s">
        <v>48</v>
      </c>
      <c r="C16" s="301">
        <f>SUM(C10:C15)</f>
        <v>0</v>
      </c>
      <c r="D16" s="301">
        <f>SUM(D10:D15)</f>
        <v>0</v>
      </c>
      <c r="E16" s="301">
        <f>SUM(E10:E15)</f>
        <v>0</v>
      </c>
      <c r="F16" s="301">
        <f>SUM(F10:F15)</f>
        <v>0</v>
      </c>
      <c r="G16" s="302">
        <f t="shared" si="0"/>
        <v>0</v>
      </c>
    </row>
    <row r="17" spans="1:7" s="278" customFormat="1">
      <c r="A17" s="220"/>
      <c r="B17" s="220"/>
      <c r="C17" s="220"/>
      <c r="D17" s="220"/>
      <c r="E17" s="220"/>
      <c r="F17" s="220"/>
      <c r="G17" s="220"/>
    </row>
    <row r="18" spans="1:7" s="278" customFormat="1">
      <c r="A18" s="220"/>
      <c r="B18" s="220"/>
      <c r="C18" s="220"/>
      <c r="D18" s="220"/>
      <c r="E18" s="220"/>
      <c r="F18" s="220"/>
      <c r="G18" s="220"/>
    </row>
    <row r="19" spans="1:7" s="278" customFormat="1">
      <c r="A19" s="220"/>
      <c r="B19" s="220"/>
      <c r="C19" s="220"/>
      <c r="D19" s="220"/>
      <c r="E19" s="220"/>
      <c r="F19" s="220"/>
      <c r="G19" s="220"/>
    </row>
    <row r="20" spans="1:7" s="278" customFormat="1" ht="15.75">
      <c r="A20" s="277" t="s">
        <v>679</v>
      </c>
      <c r="B20" s="220"/>
      <c r="C20" s="220"/>
      <c r="D20" s="220"/>
      <c r="E20" s="220"/>
      <c r="F20" s="220"/>
      <c r="G20" s="220"/>
    </row>
    <row r="21" spans="1:7" s="278" customFormat="1">
      <c r="A21" s="220"/>
      <c r="B21" s="220"/>
      <c r="C21" s="220"/>
      <c r="D21" s="220"/>
      <c r="E21" s="220"/>
      <c r="F21" s="220"/>
      <c r="G21" s="220"/>
    </row>
    <row r="22" spans="1:7">
      <c r="A22" s="220"/>
      <c r="B22" s="220"/>
      <c r="C22" s="220"/>
      <c r="D22" s="220"/>
      <c r="E22" s="220"/>
      <c r="F22" s="220"/>
      <c r="G22" s="220"/>
    </row>
    <row r="23" spans="1:7">
      <c r="A23" s="220"/>
      <c r="B23" s="220"/>
      <c r="C23" s="278"/>
      <c r="D23" s="278"/>
      <c r="E23" s="278"/>
      <c r="F23" s="278"/>
      <c r="G23" s="220"/>
    </row>
    <row r="24" spans="1:7" ht="13.5">
      <c r="A24" s="220"/>
      <c r="B24" s="220"/>
      <c r="C24" s="304"/>
      <c r="D24" s="305" t="s">
        <v>212</v>
      </c>
      <c r="E24" s="305"/>
      <c r="F24" s="304"/>
      <c r="G24" s="220"/>
    </row>
    <row r="25" spans="1:7" ht="13.5">
      <c r="C25" s="306"/>
      <c r="D25" s="307"/>
      <c r="E25" s="307"/>
      <c r="F25" s="306"/>
    </row>
    <row r="26" spans="1:7" ht="13.5">
      <c r="C26" s="306"/>
      <c r="D26" s="307"/>
      <c r="E26" s="307"/>
      <c r="F26" s="306"/>
    </row>
  </sheetData>
  <mergeCells count="3">
    <mergeCell ref="C3:G3"/>
    <mergeCell ref="C5:F5"/>
    <mergeCell ref="A1:G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6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8">
    <tabColor rgb="FFFFFF00"/>
  </sheetPr>
  <dimension ref="A1:E169"/>
  <sheetViews>
    <sheetView topLeftCell="A91" zoomScaleNormal="100" zoomScaleSheetLayoutView="100" workbookViewId="0">
      <selection activeCell="G96" sqref="G96"/>
    </sheetView>
  </sheetViews>
  <sheetFormatPr defaultRowHeight="12.75"/>
  <cols>
    <col min="1" max="1" width="8" style="486" bestFit="1" customWidth="1"/>
    <col min="2" max="2" width="71.6640625" style="486" bestFit="1" customWidth="1"/>
    <col min="3" max="3" width="14.33203125" style="757" customWidth="1"/>
    <col min="4" max="4" width="14.33203125" style="486" customWidth="1"/>
    <col min="5" max="5" width="18.83203125" style="486" customWidth="1"/>
    <col min="6" max="16384" width="9.33203125" style="486"/>
  </cols>
  <sheetData>
    <row r="1" spans="1:5" ht="15.95" customHeight="1">
      <c r="A1" s="776" t="s">
        <v>11</v>
      </c>
      <c r="B1" s="776"/>
      <c r="C1" s="776"/>
      <c r="D1" s="776"/>
    </row>
    <row r="2" spans="1:5" ht="15.95" customHeight="1" thickBot="1">
      <c r="A2" s="775" t="s">
        <v>142</v>
      </c>
      <c r="B2" s="775"/>
      <c r="D2" s="746"/>
      <c r="E2" s="562" t="s">
        <v>581</v>
      </c>
    </row>
    <row r="3" spans="1:5" ht="38.1" customHeight="1" thickBot="1">
      <c r="A3" s="232" t="s">
        <v>64</v>
      </c>
      <c r="B3" s="233" t="s">
        <v>13</v>
      </c>
      <c r="C3" s="233" t="s">
        <v>680</v>
      </c>
      <c r="D3" s="773" t="s">
        <v>681</v>
      </c>
      <c r="E3" s="563" t="s">
        <v>692</v>
      </c>
    </row>
    <row r="4" spans="1:5" s="234" customFormat="1" ht="12" customHeight="1" thickBot="1">
      <c r="A4" s="232" t="s">
        <v>483</v>
      </c>
      <c r="B4" s="233" t="s">
        <v>484</v>
      </c>
      <c r="C4" s="233" t="s">
        <v>485</v>
      </c>
      <c r="D4" s="233" t="s">
        <v>487</v>
      </c>
      <c r="E4" s="564" t="s">
        <v>486</v>
      </c>
    </row>
    <row r="5" spans="1:5" s="234" customFormat="1" ht="12" customHeight="1" thickBot="1">
      <c r="A5" s="235" t="s">
        <v>14</v>
      </c>
      <c r="B5" s="236" t="s">
        <v>241</v>
      </c>
      <c r="C5" s="571">
        <f>+C6+C7+C8+C9+C10+C11</f>
        <v>243748289</v>
      </c>
      <c r="D5" s="565">
        <f>+D6+D7+D8+D9+D10+D11</f>
        <v>249841722</v>
      </c>
      <c r="E5" s="565">
        <f>+E6+E7+E8+E9+E10+E11</f>
        <v>223966276</v>
      </c>
    </row>
    <row r="6" spans="1:5" s="234" customFormat="1" ht="12" customHeight="1">
      <c r="A6" s="237" t="s">
        <v>93</v>
      </c>
      <c r="B6" s="112" t="s">
        <v>242</v>
      </c>
      <c r="C6" s="758">
        <v>117822015</v>
      </c>
      <c r="D6" s="758">
        <v>117996462</v>
      </c>
      <c r="E6" s="566">
        <v>118506104</v>
      </c>
    </row>
    <row r="7" spans="1:5" s="234" customFormat="1" ht="12" customHeight="1">
      <c r="A7" s="238" t="s">
        <v>94</v>
      </c>
      <c r="B7" s="113" t="s">
        <v>243</v>
      </c>
      <c r="C7" s="759">
        <v>56597616</v>
      </c>
      <c r="D7" s="759">
        <v>57292900</v>
      </c>
      <c r="E7" s="567">
        <v>64532484</v>
      </c>
    </row>
    <row r="8" spans="1:5" s="234" customFormat="1" ht="12" customHeight="1">
      <c r="A8" s="238" t="s">
        <v>95</v>
      </c>
      <c r="B8" s="113" t="s">
        <v>244</v>
      </c>
      <c r="C8" s="759">
        <v>39695169</v>
      </c>
      <c r="D8" s="759">
        <v>40752031</v>
      </c>
      <c r="E8" s="567">
        <v>37842188</v>
      </c>
    </row>
    <row r="9" spans="1:5" s="234" customFormat="1" ht="12" customHeight="1">
      <c r="A9" s="238" t="s">
        <v>96</v>
      </c>
      <c r="B9" s="113" t="s">
        <v>245</v>
      </c>
      <c r="C9" s="759">
        <v>4541173</v>
      </c>
      <c r="D9" s="759">
        <v>4635145</v>
      </c>
      <c r="E9" s="567">
        <v>3085500</v>
      </c>
    </row>
    <row r="10" spans="1:5" s="234" customFormat="1" ht="12" customHeight="1">
      <c r="A10" s="238" t="s">
        <v>139</v>
      </c>
      <c r="B10" s="239" t="s">
        <v>426</v>
      </c>
      <c r="C10" s="759">
        <v>24745002</v>
      </c>
      <c r="D10" s="759">
        <v>29165184</v>
      </c>
      <c r="E10" s="567"/>
    </row>
    <row r="11" spans="1:5" s="234" customFormat="1" ht="12" customHeight="1" thickBot="1">
      <c r="A11" s="240" t="s">
        <v>97</v>
      </c>
      <c r="B11" s="241" t="s">
        <v>427</v>
      </c>
      <c r="C11" s="759">
        <v>347314</v>
      </c>
      <c r="D11" s="759"/>
      <c r="E11" s="567"/>
    </row>
    <row r="12" spans="1:5" s="234" customFormat="1" ht="12" customHeight="1" thickBot="1">
      <c r="A12" s="235" t="s">
        <v>15</v>
      </c>
      <c r="B12" s="242" t="s">
        <v>246</v>
      </c>
      <c r="C12" s="571">
        <f>+C13+C14+C15+C16+C17</f>
        <v>87621574</v>
      </c>
      <c r="D12" s="571">
        <f>+D13+D14+D15+D16+D17</f>
        <v>34915162</v>
      </c>
      <c r="E12" s="565">
        <f>+E13+E14+E15+E16+E17</f>
        <v>75066371</v>
      </c>
    </row>
    <row r="13" spans="1:5" s="234" customFormat="1" ht="12" customHeight="1">
      <c r="A13" s="237" t="s">
        <v>99</v>
      </c>
      <c r="B13" s="112" t="s">
        <v>247</v>
      </c>
      <c r="C13" s="758"/>
      <c r="D13" s="758"/>
      <c r="E13" s="566"/>
    </row>
    <row r="14" spans="1:5" s="234" customFormat="1" ht="12" customHeight="1">
      <c r="A14" s="238" t="s">
        <v>100</v>
      </c>
      <c r="B14" s="113" t="s">
        <v>248</v>
      </c>
      <c r="C14" s="759"/>
      <c r="D14" s="759"/>
      <c r="E14" s="567"/>
    </row>
    <row r="15" spans="1:5" s="234" customFormat="1" ht="12" customHeight="1">
      <c r="A15" s="238" t="s">
        <v>101</v>
      </c>
      <c r="B15" s="113" t="s">
        <v>416</v>
      </c>
      <c r="C15" s="759"/>
      <c r="D15" s="759"/>
      <c r="E15" s="567"/>
    </row>
    <row r="16" spans="1:5" s="234" customFormat="1" ht="12" customHeight="1">
      <c r="A16" s="238" t="s">
        <v>102</v>
      </c>
      <c r="B16" s="113" t="s">
        <v>417</v>
      </c>
      <c r="C16" s="759"/>
      <c r="D16" s="759"/>
      <c r="E16" s="567"/>
    </row>
    <row r="17" spans="1:5" s="234" customFormat="1" ht="12" customHeight="1">
      <c r="A17" s="238" t="s">
        <v>103</v>
      </c>
      <c r="B17" s="113" t="s">
        <v>249</v>
      </c>
      <c r="C17" s="759">
        <v>87621574</v>
      </c>
      <c r="D17" s="759">
        <v>34915162</v>
      </c>
      <c r="E17" s="567">
        <f>75066371</f>
        <v>75066371</v>
      </c>
    </row>
    <row r="18" spans="1:5" s="234" customFormat="1" ht="12" customHeight="1" thickBot="1">
      <c r="A18" s="240" t="s">
        <v>112</v>
      </c>
      <c r="B18" s="241" t="s">
        <v>250</v>
      </c>
      <c r="C18" s="760"/>
      <c r="D18" s="760"/>
      <c r="E18" s="568"/>
    </row>
    <row r="19" spans="1:5" s="234" customFormat="1" ht="12" customHeight="1" thickBot="1">
      <c r="A19" s="235" t="s">
        <v>16</v>
      </c>
      <c r="B19" s="236" t="s">
        <v>251</v>
      </c>
      <c r="C19" s="565">
        <f>+C20+C21+C22+C23+C24</f>
        <v>363718343</v>
      </c>
      <c r="D19" s="565">
        <f>+D20+D21+D22+D23+D24</f>
        <v>34251452</v>
      </c>
      <c r="E19" s="565">
        <f>+E20+E21+E22+E23+E24</f>
        <v>39844721</v>
      </c>
    </row>
    <row r="20" spans="1:5" s="234" customFormat="1" ht="12" customHeight="1">
      <c r="A20" s="237" t="s">
        <v>82</v>
      </c>
      <c r="B20" s="112" t="s">
        <v>252</v>
      </c>
      <c r="C20" s="758"/>
      <c r="D20" s="759">
        <v>506728</v>
      </c>
      <c r="E20" s="566"/>
    </row>
    <row r="21" spans="1:5" s="234" customFormat="1" ht="12" customHeight="1">
      <c r="A21" s="238" t="s">
        <v>83</v>
      </c>
      <c r="B21" s="113" t="s">
        <v>253</v>
      </c>
      <c r="C21" s="759"/>
      <c r="D21" s="759"/>
      <c r="E21" s="567"/>
    </row>
    <row r="22" spans="1:5" s="234" customFormat="1" ht="12" customHeight="1">
      <c r="A22" s="238" t="s">
        <v>84</v>
      </c>
      <c r="B22" s="113" t="s">
        <v>418</v>
      </c>
      <c r="C22" s="759"/>
      <c r="D22" s="759"/>
      <c r="E22" s="567"/>
    </row>
    <row r="23" spans="1:5" s="234" customFormat="1" ht="12" customHeight="1">
      <c r="A23" s="238" t="s">
        <v>85</v>
      </c>
      <c r="B23" s="113" t="s">
        <v>419</v>
      </c>
      <c r="C23" s="759"/>
      <c r="D23" s="759"/>
      <c r="E23" s="567"/>
    </row>
    <row r="24" spans="1:5" s="234" customFormat="1" ht="12" customHeight="1">
      <c r="A24" s="238" t="s">
        <v>160</v>
      </c>
      <c r="B24" s="113" t="s">
        <v>254</v>
      </c>
      <c r="C24" s="759">
        <v>363718343</v>
      </c>
      <c r="D24" s="759">
        <v>33744724</v>
      </c>
      <c r="E24" s="567">
        <v>39844721</v>
      </c>
    </row>
    <row r="25" spans="1:5" s="234" customFormat="1" ht="12" customHeight="1" thickBot="1">
      <c r="A25" s="240" t="s">
        <v>161</v>
      </c>
      <c r="B25" s="115" t="s">
        <v>255</v>
      </c>
      <c r="C25" s="760"/>
      <c r="D25" s="760"/>
      <c r="E25" s="568"/>
    </row>
    <row r="26" spans="1:5" s="234" customFormat="1" ht="12" customHeight="1" thickBot="1">
      <c r="A26" s="235" t="s">
        <v>162</v>
      </c>
      <c r="B26" s="236" t="s">
        <v>256</v>
      </c>
      <c r="C26" s="571">
        <f>+C27+C31+C32+C33</f>
        <v>139226779</v>
      </c>
      <c r="D26" s="571">
        <f>+D27+D31+D32+D33</f>
        <v>152824290</v>
      </c>
      <c r="E26" s="565">
        <f>+E27+E31+E32+E33</f>
        <v>136700000</v>
      </c>
    </row>
    <row r="27" spans="1:5" s="234" customFormat="1" ht="12" customHeight="1">
      <c r="A27" s="237" t="s">
        <v>257</v>
      </c>
      <c r="B27" s="112" t="s">
        <v>433</v>
      </c>
      <c r="C27" s="761">
        <f>+C28+C29+C30</f>
        <v>100859401</v>
      </c>
      <c r="D27" s="761">
        <f>D28+D29+D30</f>
        <v>111241408</v>
      </c>
      <c r="E27" s="569">
        <f>E28+E29+E30</f>
        <v>100000000</v>
      </c>
    </row>
    <row r="28" spans="1:5" s="234" customFormat="1" ht="12" customHeight="1">
      <c r="A28" s="238" t="s">
        <v>258</v>
      </c>
      <c r="B28" s="113" t="s">
        <v>593</v>
      </c>
      <c r="C28" s="759">
        <v>57672091</v>
      </c>
      <c r="D28" s="759">
        <v>61021062</v>
      </c>
      <c r="E28" s="567">
        <f>58000000</f>
        <v>58000000</v>
      </c>
    </row>
    <row r="29" spans="1:5" s="234" customFormat="1" ht="12" customHeight="1">
      <c r="A29" s="238" t="s">
        <v>259</v>
      </c>
      <c r="B29" s="113" t="s">
        <v>594</v>
      </c>
      <c r="C29" s="759"/>
      <c r="D29" s="759"/>
      <c r="E29" s="567"/>
    </row>
    <row r="30" spans="1:5" s="234" customFormat="1" ht="12" customHeight="1">
      <c r="A30" s="238" t="s">
        <v>431</v>
      </c>
      <c r="B30" s="114" t="s">
        <v>432</v>
      </c>
      <c r="C30" s="759">
        <v>43187310</v>
      </c>
      <c r="D30" s="759">
        <v>50220346</v>
      </c>
      <c r="E30" s="567">
        <f>42000000</f>
        <v>42000000</v>
      </c>
    </row>
    <row r="31" spans="1:5" s="234" customFormat="1" ht="12" customHeight="1">
      <c r="A31" s="238" t="s">
        <v>260</v>
      </c>
      <c r="B31" s="113" t="s">
        <v>265</v>
      </c>
      <c r="C31" s="759">
        <v>8994728</v>
      </c>
      <c r="D31" s="759">
        <v>9913056</v>
      </c>
      <c r="E31" s="567">
        <v>9000000</v>
      </c>
    </row>
    <row r="32" spans="1:5" s="234" customFormat="1" ht="12" customHeight="1">
      <c r="A32" s="238" t="s">
        <v>261</v>
      </c>
      <c r="B32" s="113" t="s">
        <v>575</v>
      </c>
      <c r="C32" s="759">
        <v>28970800</v>
      </c>
      <c r="D32" s="759">
        <v>30401955</v>
      </c>
      <c r="E32" s="567">
        <v>27500000</v>
      </c>
    </row>
    <row r="33" spans="1:5" s="234" customFormat="1" ht="12" customHeight="1" thickBot="1">
      <c r="A33" s="240" t="s">
        <v>262</v>
      </c>
      <c r="B33" s="115" t="s">
        <v>267</v>
      </c>
      <c r="C33" s="760">
        <v>401850</v>
      </c>
      <c r="D33" s="760">
        <v>1267871</v>
      </c>
      <c r="E33" s="568">
        <v>200000</v>
      </c>
    </row>
    <row r="34" spans="1:5" s="234" customFormat="1" ht="12" customHeight="1" thickBot="1">
      <c r="A34" s="235" t="s">
        <v>18</v>
      </c>
      <c r="B34" s="236" t="s">
        <v>428</v>
      </c>
      <c r="C34" s="571">
        <f>SUM(C35:C45)</f>
        <v>162125200</v>
      </c>
      <c r="D34" s="571">
        <f>SUM(D35:D45)</f>
        <v>172283173</v>
      </c>
      <c r="E34" s="565">
        <f>SUM(E35:E45)</f>
        <v>130660612</v>
      </c>
    </row>
    <row r="35" spans="1:5" s="234" customFormat="1" ht="12" customHeight="1">
      <c r="A35" s="237" t="s">
        <v>86</v>
      </c>
      <c r="B35" s="112" t="s">
        <v>270</v>
      </c>
      <c r="C35" s="758">
        <v>64000</v>
      </c>
      <c r="D35" s="758"/>
      <c r="E35" s="566"/>
    </row>
    <row r="36" spans="1:5" s="234" customFormat="1" ht="12" customHeight="1">
      <c r="A36" s="238" t="s">
        <v>87</v>
      </c>
      <c r="B36" s="113" t="s">
        <v>271</v>
      </c>
      <c r="C36" s="759">
        <v>118757569</v>
      </c>
      <c r="D36" s="759">
        <v>120822485</v>
      </c>
      <c r="E36" s="567">
        <f>99723710</f>
        <v>99723710</v>
      </c>
    </row>
    <row r="37" spans="1:5" s="234" customFormat="1" ht="12" customHeight="1">
      <c r="A37" s="238" t="s">
        <v>88</v>
      </c>
      <c r="B37" s="113" t="s">
        <v>272</v>
      </c>
      <c r="C37" s="759">
        <v>4899386</v>
      </c>
      <c r="D37" s="759">
        <v>1960569</v>
      </c>
      <c r="E37" s="567">
        <f>1650000</f>
        <v>1650000</v>
      </c>
    </row>
    <row r="38" spans="1:5" s="234" customFormat="1" ht="12" customHeight="1">
      <c r="A38" s="238" t="s">
        <v>164</v>
      </c>
      <c r="B38" s="113" t="s">
        <v>273</v>
      </c>
      <c r="C38" s="759"/>
      <c r="D38" s="759"/>
      <c r="E38" s="567"/>
    </row>
    <row r="39" spans="1:5" s="234" customFormat="1" ht="12" customHeight="1">
      <c r="A39" s="238" t="s">
        <v>165</v>
      </c>
      <c r="B39" s="113" t="s">
        <v>274</v>
      </c>
      <c r="C39" s="759">
        <v>2039171</v>
      </c>
      <c r="D39" s="759">
        <v>1834116</v>
      </c>
      <c r="E39" s="567">
        <f>1500000</f>
        <v>1500000</v>
      </c>
    </row>
    <row r="40" spans="1:5" s="234" customFormat="1" ht="12" customHeight="1">
      <c r="A40" s="238" t="s">
        <v>166</v>
      </c>
      <c r="B40" s="113" t="s">
        <v>275</v>
      </c>
      <c r="C40" s="759">
        <v>35871590</v>
      </c>
      <c r="D40" s="759">
        <v>33738887</v>
      </c>
      <c r="E40" s="567">
        <f>27775902</f>
        <v>27775902</v>
      </c>
    </row>
    <row r="41" spans="1:5" s="234" customFormat="1" ht="12" customHeight="1">
      <c r="A41" s="238" t="s">
        <v>167</v>
      </c>
      <c r="B41" s="113" t="s">
        <v>276</v>
      </c>
      <c r="C41" s="759"/>
      <c r="D41" s="759">
        <v>13300000</v>
      </c>
      <c r="E41" s="567"/>
    </row>
    <row r="42" spans="1:5" s="234" customFormat="1" ht="12" customHeight="1">
      <c r="A42" s="238" t="s">
        <v>168</v>
      </c>
      <c r="B42" s="113" t="s">
        <v>277</v>
      </c>
      <c r="C42" s="759">
        <v>40482</v>
      </c>
      <c r="D42" s="759">
        <v>503</v>
      </c>
      <c r="E42" s="567">
        <f>1000</f>
        <v>1000</v>
      </c>
    </row>
    <row r="43" spans="1:5" s="234" customFormat="1" ht="12" customHeight="1">
      <c r="A43" s="238" t="s">
        <v>268</v>
      </c>
      <c r="B43" s="113" t="s">
        <v>278</v>
      </c>
      <c r="C43" s="759"/>
      <c r="D43" s="759"/>
      <c r="E43" s="567"/>
    </row>
    <row r="44" spans="1:5" s="234" customFormat="1" ht="12" customHeight="1">
      <c r="A44" s="240" t="s">
        <v>269</v>
      </c>
      <c r="B44" s="115" t="s">
        <v>430</v>
      </c>
      <c r="C44" s="760"/>
      <c r="D44" s="760"/>
      <c r="E44" s="568"/>
    </row>
    <row r="45" spans="1:5" s="234" customFormat="1" ht="12" customHeight="1" thickBot="1">
      <c r="A45" s="240" t="s">
        <v>429</v>
      </c>
      <c r="B45" s="241" t="s">
        <v>279</v>
      </c>
      <c r="C45" s="760">
        <v>453002</v>
      </c>
      <c r="D45" s="760">
        <v>626613</v>
      </c>
      <c r="E45" s="568">
        <f>10000</f>
        <v>10000</v>
      </c>
    </row>
    <row r="46" spans="1:5" s="234" customFormat="1" ht="12" customHeight="1" thickBot="1">
      <c r="A46" s="235" t="s">
        <v>19</v>
      </c>
      <c r="B46" s="236" t="s">
        <v>280</v>
      </c>
      <c r="C46" s="571">
        <f>SUM(C47:C51)</f>
        <v>8986168</v>
      </c>
      <c r="D46" s="571">
        <f>SUM(D47:D51)</f>
        <v>0</v>
      </c>
      <c r="E46" s="565">
        <f>SUM(E47:E51)</f>
        <v>7000000</v>
      </c>
    </row>
    <row r="47" spans="1:5" s="234" customFormat="1" ht="12" customHeight="1">
      <c r="A47" s="237" t="s">
        <v>89</v>
      </c>
      <c r="B47" s="112" t="s">
        <v>284</v>
      </c>
      <c r="C47" s="758"/>
      <c r="D47" s="758"/>
      <c r="E47" s="566"/>
    </row>
    <row r="48" spans="1:5" s="234" customFormat="1" ht="12" customHeight="1">
      <c r="A48" s="238" t="s">
        <v>90</v>
      </c>
      <c r="B48" s="113" t="s">
        <v>285</v>
      </c>
      <c r="C48" s="759">
        <v>8986168</v>
      </c>
      <c r="D48" s="759"/>
      <c r="E48" s="567">
        <v>7000000</v>
      </c>
    </row>
    <row r="49" spans="1:5" s="234" customFormat="1" ht="12" customHeight="1">
      <c r="A49" s="238" t="s">
        <v>281</v>
      </c>
      <c r="B49" s="113" t="s">
        <v>286</v>
      </c>
      <c r="C49" s="759"/>
      <c r="D49" s="759"/>
      <c r="E49" s="567"/>
    </row>
    <row r="50" spans="1:5" s="234" customFormat="1" ht="12" customHeight="1">
      <c r="A50" s="238" t="s">
        <v>282</v>
      </c>
      <c r="B50" s="113" t="s">
        <v>287</v>
      </c>
      <c r="C50" s="759"/>
      <c r="D50" s="759"/>
      <c r="E50" s="567"/>
    </row>
    <row r="51" spans="1:5" s="234" customFormat="1" ht="12" customHeight="1" thickBot="1">
      <c r="A51" s="240" t="s">
        <v>283</v>
      </c>
      <c r="B51" s="241" t="s">
        <v>288</v>
      </c>
      <c r="C51" s="760"/>
      <c r="D51" s="760"/>
      <c r="E51" s="568"/>
    </row>
    <row r="52" spans="1:5" s="234" customFormat="1" ht="12" customHeight="1" thickBot="1">
      <c r="A52" s="235" t="s">
        <v>169</v>
      </c>
      <c r="B52" s="236" t="s">
        <v>289</v>
      </c>
      <c r="C52" s="571">
        <f>SUM(C53:C55)</f>
        <v>346102</v>
      </c>
      <c r="D52" s="571">
        <f>SUM(D53:D55)</f>
        <v>0</v>
      </c>
      <c r="E52" s="565">
        <f>SUM(E53:E55)</f>
        <v>505503</v>
      </c>
    </row>
    <row r="53" spans="1:5" s="234" customFormat="1" ht="12" customHeight="1">
      <c r="A53" s="237" t="s">
        <v>91</v>
      </c>
      <c r="B53" s="112" t="s">
        <v>290</v>
      </c>
      <c r="C53" s="758"/>
      <c r="D53" s="758"/>
      <c r="E53" s="566"/>
    </row>
    <row r="54" spans="1:5" s="234" customFormat="1" ht="12" customHeight="1">
      <c r="A54" s="238" t="s">
        <v>92</v>
      </c>
      <c r="B54" s="113" t="s">
        <v>420</v>
      </c>
      <c r="C54" s="759"/>
      <c r="D54" s="759"/>
      <c r="E54" s="567"/>
    </row>
    <row r="55" spans="1:5" s="234" customFormat="1" ht="12" customHeight="1">
      <c r="A55" s="238" t="s">
        <v>293</v>
      </c>
      <c r="B55" s="113" t="s">
        <v>291</v>
      </c>
      <c r="C55" s="759">
        <v>346102</v>
      </c>
      <c r="D55" s="759"/>
      <c r="E55" s="567">
        <v>505503</v>
      </c>
    </row>
    <row r="56" spans="1:5" s="234" customFormat="1" ht="12" customHeight="1" thickBot="1">
      <c r="A56" s="240" t="s">
        <v>294</v>
      </c>
      <c r="B56" s="241" t="s">
        <v>292</v>
      </c>
      <c r="C56" s="760"/>
      <c r="D56" s="760"/>
      <c r="E56" s="568"/>
    </row>
    <row r="57" spans="1:5" s="234" customFormat="1" ht="12" customHeight="1" thickBot="1">
      <c r="A57" s="235" t="s">
        <v>21</v>
      </c>
      <c r="B57" s="242" t="s">
        <v>295</v>
      </c>
      <c r="C57" s="571">
        <f>SUM(C58:C60)</f>
        <v>120000</v>
      </c>
      <c r="D57" s="571">
        <f>SUM(D58:D60)</f>
        <v>110000</v>
      </c>
      <c r="E57" s="565">
        <f>SUM(E58:E60)</f>
        <v>100000</v>
      </c>
    </row>
    <row r="58" spans="1:5" s="234" customFormat="1" ht="12" customHeight="1">
      <c r="A58" s="237" t="s">
        <v>170</v>
      </c>
      <c r="B58" s="112" t="s">
        <v>297</v>
      </c>
      <c r="C58" s="759"/>
      <c r="D58" s="759"/>
      <c r="E58" s="567"/>
    </row>
    <row r="59" spans="1:5" s="234" customFormat="1" ht="12" customHeight="1">
      <c r="A59" s="238" t="s">
        <v>171</v>
      </c>
      <c r="B59" s="113" t="s">
        <v>421</v>
      </c>
      <c r="C59" s="759">
        <v>120000</v>
      </c>
      <c r="D59" s="759">
        <v>110000</v>
      </c>
      <c r="E59" s="567">
        <v>100000</v>
      </c>
    </row>
    <row r="60" spans="1:5" s="234" customFormat="1" ht="12" customHeight="1">
      <c r="A60" s="238" t="s">
        <v>218</v>
      </c>
      <c r="B60" s="113" t="s">
        <v>298</v>
      </c>
      <c r="C60" s="759"/>
      <c r="D60" s="759"/>
      <c r="E60" s="567"/>
    </row>
    <row r="61" spans="1:5" s="234" customFormat="1" ht="12" customHeight="1" thickBot="1">
      <c r="A61" s="240" t="s">
        <v>296</v>
      </c>
      <c r="B61" s="241" t="s">
        <v>299</v>
      </c>
      <c r="C61" s="759"/>
      <c r="D61" s="759"/>
      <c r="E61" s="567"/>
    </row>
    <row r="62" spans="1:5" s="234" customFormat="1" ht="12" customHeight="1" thickBot="1">
      <c r="A62" s="243" t="s">
        <v>472</v>
      </c>
      <c r="B62" s="236" t="s">
        <v>300</v>
      </c>
      <c r="C62" s="571">
        <f>+C5+C12+C19+C26+C34+C46+C52+C57</f>
        <v>1005892455</v>
      </c>
      <c r="D62" s="565">
        <f>D5+D12+D19+D26+D34+D46+D52+D57</f>
        <v>644225799</v>
      </c>
      <c r="E62" s="565">
        <f>+E5+E12+E19+E26+E34+E46+E52+E57</f>
        <v>613843483</v>
      </c>
    </row>
    <row r="63" spans="1:5" s="234" customFormat="1" ht="12" customHeight="1" thickBot="1">
      <c r="A63" s="244" t="s">
        <v>301</v>
      </c>
      <c r="B63" s="242" t="s">
        <v>534</v>
      </c>
      <c r="C63" s="571">
        <f>SUM(C64:C66)</f>
        <v>0</v>
      </c>
      <c r="D63" s="571">
        <f>SUM(D64:D66)</f>
        <v>0</v>
      </c>
      <c r="E63" s="565">
        <f>SUM(E64:E66)</f>
        <v>0</v>
      </c>
    </row>
    <row r="64" spans="1:5" s="234" customFormat="1" ht="12" customHeight="1">
      <c r="A64" s="237" t="s">
        <v>333</v>
      </c>
      <c r="B64" s="112" t="s">
        <v>303</v>
      </c>
      <c r="C64" s="759"/>
      <c r="D64" s="759"/>
      <c r="E64" s="567"/>
    </row>
    <row r="65" spans="1:5" s="234" customFormat="1" ht="12" customHeight="1">
      <c r="A65" s="238" t="s">
        <v>342</v>
      </c>
      <c r="B65" s="113" t="s">
        <v>304</v>
      </c>
      <c r="C65" s="759"/>
      <c r="D65" s="759"/>
      <c r="E65" s="567"/>
    </row>
    <row r="66" spans="1:5" s="234" customFormat="1" ht="12" customHeight="1" thickBot="1">
      <c r="A66" s="240" t="s">
        <v>343</v>
      </c>
      <c r="B66" s="245" t="s">
        <v>457</v>
      </c>
      <c r="C66" s="759"/>
      <c r="D66" s="759"/>
      <c r="E66" s="567"/>
    </row>
    <row r="67" spans="1:5" s="234" customFormat="1" ht="12" customHeight="1" thickBot="1">
      <c r="A67" s="244" t="s">
        <v>306</v>
      </c>
      <c r="B67" s="242" t="s">
        <v>307</v>
      </c>
      <c r="C67" s="571">
        <f>SUM(C68:C71)</f>
        <v>0</v>
      </c>
      <c r="D67" s="571">
        <f>SUM(D68:D71)</f>
        <v>0</v>
      </c>
      <c r="E67" s="565">
        <f>SUM(E68:E71)</f>
        <v>0</v>
      </c>
    </row>
    <row r="68" spans="1:5" s="234" customFormat="1" ht="12" customHeight="1">
      <c r="A68" s="237" t="s">
        <v>140</v>
      </c>
      <c r="B68" s="112" t="s">
        <v>308</v>
      </c>
      <c r="C68" s="759"/>
      <c r="D68" s="759"/>
      <c r="E68" s="567"/>
    </row>
    <row r="69" spans="1:5" s="234" customFormat="1" ht="17.25" customHeight="1">
      <c r="A69" s="238" t="s">
        <v>141</v>
      </c>
      <c r="B69" s="113" t="s">
        <v>309</v>
      </c>
      <c r="C69" s="759"/>
      <c r="D69" s="759"/>
      <c r="E69" s="567"/>
    </row>
    <row r="70" spans="1:5" s="234" customFormat="1" ht="12" customHeight="1">
      <c r="A70" s="238" t="s">
        <v>334</v>
      </c>
      <c r="B70" s="113" t="s">
        <v>310</v>
      </c>
      <c r="C70" s="759"/>
      <c r="D70" s="759"/>
      <c r="E70" s="567"/>
    </row>
    <row r="71" spans="1:5" s="234" customFormat="1" ht="12" customHeight="1" thickBot="1">
      <c r="A71" s="240" t="s">
        <v>335</v>
      </c>
      <c r="B71" s="241" t="s">
        <v>311</v>
      </c>
      <c r="C71" s="759"/>
      <c r="D71" s="759"/>
      <c r="E71" s="567"/>
    </row>
    <row r="72" spans="1:5" s="234" customFormat="1" ht="12" customHeight="1" thickBot="1">
      <c r="A72" s="244" t="s">
        <v>312</v>
      </c>
      <c r="B72" s="242" t="s">
        <v>313</v>
      </c>
      <c r="C72" s="571">
        <f>SUM(C73:C74)</f>
        <v>222974509</v>
      </c>
      <c r="D72" s="571">
        <f>SUM(D73:D74)</f>
        <v>605704429</v>
      </c>
      <c r="E72" s="565">
        <f>SUM(E73:E74)</f>
        <v>541000000</v>
      </c>
    </row>
    <row r="73" spans="1:5" s="234" customFormat="1" ht="12" customHeight="1">
      <c r="A73" s="237" t="s">
        <v>336</v>
      </c>
      <c r="B73" s="112" t="s">
        <v>314</v>
      </c>
      <c r="C73" s="759">
        <v>222974509</v>
      </c>
      <c r="D73" s="759">
        <v>605704429</v>
      </c>
      <c r="E73" s="567">
        <f>541000000</f>
        <v>541000000</v>
      </c>
    </row>
    <row r="74" spans="1:5" s="234" customFormat="1" ht="12" customHeight="1" thickBot="1">
      <c r="A74" s="240" t="s">
        <v>337</v>
      </c>
      <c r="B74" s="241" t="s">
        <v>315</v>
      </c>
      <c r="C74" s="759"/>
      <c r="D74" s="759"/>
      <c r="E74" s="567"/>
    </row>
    <row r="75" spans="1:5" s="234" customFormat="1" ht="12" customHeight="1" thickBot="1">
      <c r="A75" s="244" t="s">
        <v>316</v>
      </c>
      <c r="B75" s="242" t="s">
        <v>317</v>
      </c>
      <c r="C75" s="571">
        <f>SUM(C76:C78)</f>
        <v>8273601</v>
      </c>
      <c r="D75" s="571">
        <f>SUM(D76:D78)</f>
        <v>8180284</v>
      </c>
      <c r="E75" s="565">
        <f>SUM(E76:E78)</f>
        <v>0</v>
      </c>
    </row>
    <row r="76" spans="1:5" s="234" customFormat="1" ht="12" customHeight="1">
      <c r="A76" s="237" t="s">
        <v>338</v>
      </c>
      <c r="B76" s="112" t="s">
        <v>318</v>
      </c>
      <c r="C76" s="759">
        <v>8273601</v>
      </c>
      <c r="D76" s="759">
        <v>8180284</v>
      </c>
      <c r="E76" s="567"/>
    </row>
    <row r="77" spans="1:5" s="234" customFormat="1" ht="12" customHeight="1">
      <c r="A77" s="238" t="s">
        <v>339</v>
      </c>
      <c r="B77" s="113" t="s">
        <v>319</v>
      </c>
      <c r="C77" s="759"/>
      <c r="D77" s="759"/>
      <c r="E77" s="567"/>
    </row>
    <row r="78" spans="1:5" s="234" customFormat="1" ht="12" customHeight="1" thickBot="1">
      <c r="A78" s="240" t="s">
        <v>340</v>
      </c>
      <c r="B78" s="241" t="s">
        <v>320</v>
      </c>
      <c r="C78" s="759"/>
      <c r="D78" s="759"/>
      <c r="E78" s="567"/>
    </row>
    <row r="79" spans="1:5" s="234" customFormat="1" ht="12" customHeight="1" thickBot="1">
      <c r="A79" s="244" t="s">
        <v>321</v>
      </c>
      <c r="B79" s="242" t="s">
        <v>341</v>
      </c>
      <c r="C79" s="571">
        <f>SUM(C80:C83)</f>
        <v>0</v>
      </c>
      <c r="D79" s="571">
        <f>SUM(D80:D83)</f>
        <v>9574</v>
      </c>
      <c r="E79" s="565">
        <f>SUM(E80:E83)</f>
        <v>0</v>
      </c>
    </row>
    <row r="80" spans="1:5" s="234" customFormat="1" ht="12" customHeight="1">
      <c r="A80" s="246" t="s">
        <v>322</v>
      </c>
      <c r="B80" s="112" t="s">
        <v>323</v>
      </c>
      <c r="C80" s="759"/>
      <c r="D80" s="759">
        <v>9574</v>
      </c>
      <c r="E80" s="567"/>
    </row>
    <row r="81" spans="1:5" s="234" customFormat="1" ht="12" customHeight="1">
      <c r="A81" s="247" t="s">
        <v>324</v>
      </c>
      <c r="B81" s="113" t="s">
        <v>325</v>
      </c>
      <c r="C81" s="759"/>
      <c r="D81" s="759"/>
      <c r="E81" s="567"/>
    </row>
    <row r="82" spans="1:5" s="234" customFormat="1" ht="12" customHeight="1">
      <c r="A82" s="247" t="s">
        <v>326</v>
      </c>
      <c r="B82" s="113" t="s">
        <v>327</v>
      </c>
      <c r="C82" s="759"/>
      <c r="D82" s="759"/>
      <c r="E82" s="567"/>
    </row>
    <row r="83" spans="1:5" s="234" customFormat="1" ht="12" customHeight="1" thickBot="1">
      <c r="A83" s="248" t="s">
        <v>328</v>
      </c>
      <c r="B83" s="241" t="s">
        <v>329</v>
      </c>
      <c r="C83" s="759"/>
      <c r="D83" s="759"/>
      <c r="E83" s="567"/>
    </row>
    <row r="84" spans="1:5" s="234" customFormat="1" ht="12" customHeight="1" thickBot="1">
      <c r="A84" s="244" t="s">
        <v>330</v>
      </c>
      <c r="B84" s="242" t="s">
        <v>471</v>
      </c>
      <c r="C84" s="762"/>
      <c r="D84" s="762"/>
      <c r="E84" s="570"/>
    </row>
    <row r="85" spans="1:5" s="234" customFormat="1" ht="12" customHeight="1" thickBot="1">
      <c r="A85" s="244" t="s">
        <v>332</v>
      </c>
      <c r="B85" s="242" t="s">
        <v>331</v>
      </c>
      <c r="C85" s="762"/>
      <c r="D85" s="762"/>
      <c r="E85" s="570"/>
    </row>
    <row r="86" spans="1:5" s="234" customFormat="1" ht="12" customHeight="1" thickBot="1">
      <c r="A86" s="244" t="s">
        <v>344</v>
      </c>
      <c r="B86" s="249" t="s">
        <v>474</v>
      </c>
      <c r="C86" s="571">
        <f>+C63+C67+C72+C75+C79+C85+C84</f>
        <v>231248110</v>
      </c>
      <c r="D86" s="571">
        <f>+D63+D67+D72+D75+D79+D85+D84</f>
        <v>613894287</v>
      </c>
      <c r="E86" s="565">
        <f>+E63+E67+E72+E75+E79+E85+E84</f>
        <v>541000000</v>
      </c>
    </row>
    <row r="87" spans="1:5" s="234" customFormat="1" ht="12" customHeight="1" thickBot="1">
      <c r="A87" s="250" t="s">
        <v>31</v>
      </c>
      <c r="B87" s="251" t="s">
        <v>555</v>
      </c>
      <c r="C87" s="571"/>
      <c r="D87" s="571"/>
      <c r="E87" s="565"/>
    </row>
    <row r="88" spans="1:5" s="234" customFormat="1" ht="12" customHeight="1" thickBot="1">
      <c r="A88" s="250" t="s">
        <v>32</v>
      </c>
      <c r="B88" s="251" t="s">
        <v>475</v>
      </c>
      <c r="C88" s="571">
        <f>+C62+C86+C87</f>
        <v>1237140565</v>
      </c>
      <c r="D88" s="571">
        <f>+D62+D86+D87</f>
        <v>1258120086</v>
      </c>
      <c r="E88" s="571">
        <f>+E62+E86+E87</f>
        <v>1154843483</v>
      </c>
    </row>
    <row r="89" spans="1:5" s="234" customFormat="1" ht="12" customHeight="1">
      <c r="A89" s="776" t="s">
        <v>42</v>
      </c>
      <c r="B89" s="776"/>
      <c r="C89" s="776"/>
      <c r="D89" s="776"/>
    </row>
    <row r="90" spans="1:5" s="234" customFormat="1" ht="12" customHeight="1" thickBot="1">
      <c r="A90" s="777" t="s">
        <v>143</v>
      </c>
      <c r="B90" s="777"/>
      <c r="C90" s="757"/>
      <c r="D90" s="746"/>
      <c r="E90" s="562" t="s">
        <v>581</v>
      </c>
    </row>
    <row r="91" spans="1:5" s="234" customFormat="1" ht="26.25" thickBot="1">
      <c r="A91" s="232" t="s">
        <v>12</v>
      </c>
      <c r="B91" s="233" t="s">
        <v>43</v>
      </c>
      <c r="C91" s="233" t="str">
        <f>+C3</f>
        <v>2017. évi tény</v>
      </c>
      <c r="D91" s="233" t="str">
        <f>+D3</f>
        <v>2018. évi várható</v>
      </c>
      <c r="E91" s="563" t="s">
        <v>692</v>
      </c>
    </row>
    <row r="92" spans="1:5" s="234" customFormat="1" ht="12" customHeight="1" thickBot="1">
      <c r="A92" s="232" t="s">
        <v>483</v>
      </c>
      <c r="B92" s="233" t="s">
        <v>484</v>
      </c>
      <c r="C92" s="233" t="s">
        <v>485</v>
      </c>
      <c r="D92" s="233" t="s">
        <v>487</v>
      </c>
      <c r="E92" s="564" t="s">
        <v>486</v>
      </c>
    </row>
    <row r="93" spans="1:5" s="234" customFormat="1" ht="15" customHeight="1" thickBot="1">
      <c r="A93" s="252" t="s">
        <v>14</v>
      </c>
      <c r="B93" s="253" t="s">
        <v>631</v>
      </c>
      <c r="C93" s="763">
        <f>C94+C95+C96+C97+C98+C111</f>
        <v>381401072</v>
      </c>
      <c r="D93" s="763">
        <f>D94+D95+D96+D97+D98+D111</f>
        <v>410674676</v>
      </c>
      <c r="E93" s="572">
        <f>E94+E95+E96+E97+E98+E111</f>
        <v>576038614</v>
      </c>
    </row>
    <row r="94" spans="1:5" s="234" customFormat="1" ht="12.95" customHeight="1">
      <c r="A94" s="254" t="s">
        <v>93</v>
      </c>
      <c r="B94" s="255" t="s">
        <v>44</v>
      </c>
      <c r="C94" s="764">
        <v>66404589</v>
      </c>
      <c r="D94" s="764">
        <v>64551072</v>
      </c>
      <c r="E94" s="573">
        <v>81039317</v>
      </c>
    </row>
    <row r="95" spans="1:5" ht="16.5" customHeight="1">
      <c r="A95" s="238" t="s">
        <v>94</v>
      </c>
      <c r="B95" s="256" t="s">
        <v>172</v>
      </c>
      <c r="C95" s="576">
        <v>15844449</v>
      </c>
      <c r="D95" s="576">
        <v>13060224</v>
      </c>
      <c r="E95" s="574">
        <v>17133121</v>
      </c>
    </row>
    <row r="96" spans="1:5">
      <c r="A96" s="238" t="s">
        <v>95</v>
      </c>
      <c r="B96" s="256" t="s">
        <v>131</v>
      </c>
      <c r="C96" s="765">
        <v>163734673</v>
      </c>
      <c r="D96" s="765">
        <v>194374532</v>
      </c>
      <c r="E96" s="575">
        <v>263854593</v>
      </c>
    </row>
    <row r="97" spans="1:5" s="234" customFormat="1" ht="12" customHeight="1">
      <c r="A97" s="238" t="s">
        <v>96</v>
      </c>
      <c r="B97" s="257" t="s">
        <v>173</v>
      </c>
      <c r="C97" s="765">
        <v>8472840</v>
      </c>
      <c r="D97" s="765">
        <v>4410102</v>
      </c>
      <c r="E97" s="575">
        <v>7330000</v>
      </c>
    </row>
    <row r="98" spans="1:5" ht="12" customHeight="1">
      <c r="A98" s="238" t="s">
        <v>107</v>
      </c>
      <c r="B98" s="258" t="s">
        <v>174</v>
      </c>
      <c r="C98" s="575">
        <f>C99+C100+C101+C102+C103+C104+C105+C106+C107+C108+C109+C110</f>
        <v>126944521</v>
      </c>
      <c r="D98" s="575">
        <f>D99+D100+D101+D102+D103+D104+D105+D106+D107+D108+D109+D110</f>
        <v>134278746</v>
      </c>
      <c r="E98" s="575">
        <f>E99+E100+E101+E102+E103+E104+E105+E106+E107+E108+E109+E110</f>
        <v>173511355</v>
      </c>
    </row>
    <row r="99" spans="1:5" ht="12" customHeight="1">
      <c r="A99" s="238" t="s">
        <v>97</v>
      </c>
      <c r="B99" s="256" t="s">
        <v>438</v>
      </c>
      <c r="C99" s="765"/>
      <c r="D99" s="765"/>
      <c r="E99" s="575"/>
    </row>
    <row r="100" spans="1:5" ht="12" customHeight="1">
      <c r="A100" s="238" t="s">
        <v>98</v>
      </c>
      <c r="B100" s="259" t="s">
        <v>437</v>
      </c>
      <c r="C100" s="765"/>
      <c r="D100" s="765"/>
      <c r="E100" s="575"/>
    </row>
    <row r="101" spans="1:5" ht="12" customHeight="1">
      <c r="A101" s="238" t="s">
        <v>108</v>
      </c>
      <c r="B101" s="259" t="s">
        <v>436</v>
      </c>
      <c r="C101" s="765">
        <v>532857</v>
      </c>
      <c r="D101" s="765">
        <v>109362</v>
      </c>
      <c r="E101" s="575">
        <v>1505503</v>
      </c>
    </row>
    <row r="102" spans="1:5" ht="12" customHeight="1">
      <c r="A102" s="238" t="s">
        <v>109</v>
      </c>
      <c r="B102" s="260" t="s">
        <v>347</v>
      </c>
      <c r="C102" s="765"/>
      <c r="D102" s="765"/>
      <c r="E102" s="575"/>
    </row>
    <row r="103" spans="1:5" ht="12" customHeight="1">
      <c r="A103" s="238" t="s">
        <v>110</v>
      </c>
      <c r="B103" s="261" t="s">
        <v>348</v>
      </c>
      <c r="C103" s="765"/>
      <c r="D103" s="765"/>
      <c r="E103" s="575"/>
    </row>
    <row r="104" spans="1:5" ht="12" customHeight="1">
      <c r="A104" s="238" t="s">
        <v>111</v>
      </c>
      <c r="B104" s="261" t="s">
        <v>349</v>
      </c>
      <c r="C104" s="765"/>
      <c r="D104" s="765"/>
      <c r="E104" s="575"/>
    </row>
    <row r="105" spans="1:5" ht="12" customHeight="1">
      <c r="A105" s="238" t="s">
        <v>113</v>
      </c>
      <c r="B105" s="260" t="s">
        <v>350</v>
      </c>
      <c r="C105" s="765">
        <v>91044964</v>
      </c>
      <c r="D105" s="765">
        <v>93471784</v>
      </c>
      <c r="E105" s="575">
        <v>129940852</v>
      </c>
    </row>
    <row r="106" spans="1:5" ht="12" customHeight="1">
      <c r="A106" s="238" t="s">
        <v>175</v>
      </c>
      <c r="B106" s="260" t="s">
        <v>351</v>
      </c>
      <c r="C106" s="765"/>
      <c r="D106" s="765"/>
      <c r="E106" s="575"/>
    </row>
    <row r="107" spans="1:5" ht="12" customHeight="1">
      <c r="A107" s="238" t="s">
        <v>345</v>
      </c>
      <c r="B107" s="261" t="s">
        <v>352</v>
      </c>
      <c r="C107" s="765"/>
      <c r="D107" s="765"/>
      <c r="E107" s="575"/>
    </row>
    <row r="108" spans="1:5" ht="12" customHeight="1">
      <c r="A108" s="262" t="s">
        <v>346</v>
      </c>
      <c r="B108" s="259" t="s">
        <v>353</v>
      </c>
      <c r="C108" s="765"/>
      <c r="D108" s="765"/>
      <c r="E108" s="575"/>
    </row>
    <row r="109" spans="1:5" ht="12" customHeight="1">
      <c r="A109" s="238" t="s">
        <v>434</v>
      </c>
      <c r="B109" s="259" t="s">
        <v>354</v>
      </c>
      <c r="C109" s="765"/>
      <c r="D109" s="765"/>
      <c r="E109" s="575"/>
    </row>
    <row r="110" spans="1:5" ht="12" customHeight="1">
      <c r="A110" s="240" t="s">
        <v>435</v>
      </c>
      <c r="B110" s="259" t="s">
        <v>355</v>
      </c>
      <c r="C110" s="765">
        <v>35366700</v>
      </c>
      <c r="D110" s="765">
        <v>40697600</v>
      </c>
      <c r="E110" s="575">
        <v>42065000</v>
      </c>
    </row>
    <row r="111" spans="1:5" ht="12" customHeight="1">
      <c r="A111" s="238" t="s">
        <v>439</v>
      </c>
      <c r="B111" s="257" t="s">
        <v>45</v>
      </c>
      <c r="C111" s="576">
        <f>C112+C114</f>
        <v>0</v>
      </c>
      <c r="D111" s="576">
        <f>D112+D114</f>
        <v>0</v>
      </c>
      <c r="E111" s="576">
        <f>E112+E114</f>
        <v>33170228</v>
      </c>
    </row>
    <row r="112" spans="1:5" ht="12" customHeight="1">
      <c r="A112" s="238" t="s">
        <v>440</v>
      </c>
      <c r="B112" s="256" t="s">
        <v>442</v>
      </c>
      <c r="C112" s="576"/>
      <c r="D112" s="576"/>
      <c r="E112" s="574">
        <v>4078482</v>
      </c>
    </row>
    <row r="113" spans="1:5" ht="12" customHeight="1">
      <c r="A113" s="240"/>
      <c r="B113" s="267" t="s">
        <v>665</v>
      </c>
      <c r="C113" s="765"/>
      <c r="D113" s="765"/>
      <c r="E113" s="575"/>
    </row>
    <row r="114" spans="1:5" ht="12" customHeight="1" thickBot="1">
      <c r="A114" s="263" t="s">
        <v>441</v>
      </c>
      <c r="B114" s="264" t="s">
        <v>443</v>
      </c>
      <c r="C114" s="766"/>
      <c r="D114" s="766"/>
      <c r="E114" s="577">
        <v>29091746</v>
      </c>
    </row>
    <row r="115" spans="1:5" ht="12" customHeight="1" thickBot="1">
      <c r="A115" s="265" t="s">
        <v>15</v>
      </c>
      <c r="B115" s="266" t="s">
        <v>632</v>
      </c>
      <c r="C115" s="767">
        <f>+C116+C118+C120</f>
        <v>100926591</v>
      </c>
      <c r="D115" s="767">
        <f>+D116+D118+D120</f>
        <v>146630054</v>
      </c>
      <c r="E115" s="578">
        <f>+E116+E118+E120</f>
        <v>394436461</v>
      </c>
    </row>
    <row r="116" spans="1:5" ht="12" customHeight="1">
      <c r="A116" s="237" t="s">
        <v>99</v>
      </c>
      <c r="B116" s="256" t="s">
        <v>217</v>
      </c>
      <c r="C116" s="768">
        <v>77599166</v>
      </c>
      <c r="D116" s="768">
        <v>62979771</v>
      </c>
      <c r="E116" s="579">
        <f>304198564</f>
        <v>304198564</v>
      </c>
    </row>
    <row r="117" spans="1:5">
      <c r="A117" s="237" t="s">
        <v>100</v>
      </c>
      <c r="B117" s="267" t="s">
        <v>359</v>
      </c>
      <c r="C117" s="768"/>
      <c r="D117" s="768"/>
      <c r="E117" s="579"/>
    </row>
    <row r="118" spans="1:5" ht="12" customHeight="1">
      <c r="A118" s="237" t="s">
        <v>101</v>
      </c>
      <c r="B118" s="267" t="s">
        <v>176</v>
      </c>
      <c r="C118" s="576">
        <v>20074425</v>
      </c>
      <c r="D118" s="576">
        <v>83022283</v>
      </c>
      <c r="E118" s="574">
        <f>89587897</f>
        <v>89587897</v>
      </c>
    </row>
    <row r="119" spans="1:5" ht="12" customHeight="1">
      <c r="A119" s="237" t="s">
        <v>102</v>
      </c>
      <c r="B119" s="267" t="s">
        <v>360</v>
      </c>
      <c r="C119" s="576"/>
      <c r="D119" s="576"/>
      <c r="E119" s="580"/>
    </row>
    <row r="120" spans="1:5" ht="12" customHeight="1">
      <c r="A120" s="237" t="s">
        <v>103</v>
      </c>
      <c r="B120" s="241" t="s">
        <v>219</v>
      </c>
      <c r="C120" s="580">
        <f>C121+C122+C123+C124+C125+C126+C127+C128</f>
        <v>3253000</v>
      </c>
      <c r="D120" s="580">
        <f>D121+D122+D123+D124+D125+D126+D127+D128</f>
        <v>628000</v>
      </c>
      <c r="E120" s="580">
        <f>E121+E122+E123+E124+E125+E126+E127+E128</f>
        <v>650000</v>
      </c>
    </row>
    <row r="121" spans="1:5" ht="12" customHeight="1">
      <c r="A121" s="237" t="s">
        <v>112</v>
      </c>
      <c r="B121" s="239" t="s">
        <v>422</v>
      </c>
      <c r="C121" s="576"/>
      <c r="D121" s="576"/>
      <c r="E121" s="580"/>
    </row>
    <row r="122" spans="1:5" ht="12" customHeight="1">
      <c r="A122" s="237" t="s">
        <v>114</v>
      </c>
      <c r="B122" s="268" t="s">
        <v>365</v>
      </c>
      <c r="C122" s="576"/>
      <c r="D122" s="576"/>
      <c r="E122" s="580"/>
    </row>
    <row r="123" spans="1:5" ht="12" customHeight="1">
      <c r="A123" s="237" t="s">
        <v>177</v>
      </c>
      <c r="B123" s="261" t="s">
        <v>349</v>
      </c>
      <c r="C123" s="576"/>
      <c r="D123" s="576"/>
      <c r="E123" s="580"/>
    </row>
    <row r="124" spans="1:5" ht="12" customHeight="1">
      <c r="A124" s="237" t="s">
        <v>178</v>
      </c>
      <c r="B124" s="261" t="s">
        <v>364</v>
      </c>
      <c r="C124" s="576"/>
      <c r="D124" s="576"/>
      <c r="E124" s="580"/>
    </row>
    <row r="125" spans="1:5" ht="12" customHeight="1">
      <c r="A125" s="237" t="s">
        <v>179</v>
      </c>
      <c r="B125" s="261" t="s">
        <v>363</v>
      </c>
      <c r="C125" s="576"/>
      <c r="D125" s="576"/>
      <c r="E125" s="580"/>
    </row>
    <row r="126" spans="1:5" ht="12" customHeight="1">
      <c r="A126" s="237" t="s">
        <v>356</v>
      </c>
      <c r="B126" s="261" t="s">
        <v>352</v>
      </c>
      <c r="C126" s="576"/>
      <c r="D126" s="576"/>
      <c r="E126" s="580"/>
    </row>
    <row r="127" spans="1:5" ht="12" customHeight="1">
      <c r="A127" s="237" t="s">
        <v>357</v>
      </c>
      <c r="B127" s="261" t="s">
        <v>362</v>
      </c>
      <c r="C127" s="576"/>
      <c r="D127" s="576"/>
      <c r="E127" s="580"/>
    </row>
    <row r="128" spans="1:5" ht="12" customHeight="1" thickBot="1">
      <c r="A128" s="262" t="s">
        <v>358</v>
      </c>
      <c r="B128" s="261" t="s">
        <v>361</v>
      </c>
      <c r="C128" s="765">
        <v>3253000</v>
      </c>
      <c r="D128" s="765">
        <v>628000</v>
      </c>
      <c r="E128" s="581">
        <v>650000</v>
      </c>
    </row>
    <row r="129" spans="1:5" ht="12" customHeight="1" thickBot="1">
      <c r="A129" s="235" t="s">
        <v>16</v>
      </c>
      <c r="B129" s="269" t="s">
        <v>444</v>
      </c>
      <c r="C129" s="769">
        <f>+C93+C115</f>
        <v>482327663</v>
      </c>
      <c r="D129" s="769">
        <f>+D93+D115</f>
        <v>557304730</v>
      </c>
      <c r="E129" s="582">
        <f>+E93+E115</f>
        <v>970475075</v>
      </c>
    </row>
    <row r="130" spans="1:5" ht="12" customHeight="1" thickBot="1">
      <c r="A130" s="235" t="s">
        <v>17</v>
      </c>
      <c r="B130" s="269" t="s">
        <v>445</v>
      </c>
      <c r="C130" s="769">
        <f>+C131+C132+C133</f>
        <v>0</v>
      </c>
      <c r="D130" s="769">
        <f>+D131+D132+D133</f>
        <v>0</v>
      </c>
      <c r="E130" s="582">
        <f>+E131+E132+E133</f>
        <v>0</v>
      </c>
    </row>
    <row r="131" spans="1:5" ht="12" customHeight="1">
      <c r="A131" s="237" t="s">
        <v>257</v>
      </c>
      <c r="B131" s="267" t="s">
        <v>452</v>
      </c>
      <c r="C131" s="576"/>
      <c r="D131" s="576"/>
      <c r="E131" s="580"/>
    </row>
    <row r="132" spans="1:5" ht="12" customHeight="1">
      <c r="A132" s="237" t="s">
        <v>260</v>
      </c>
      <c r="B132" s="267" t="s">
        <v>453</v>
      </c>
      <c r="C132" s="576"/>
      <c r="D132" s="576"/>
      <c r="E132" s="580"/>
    </row>
    <row r="133" spans="1:5" ht="12" customHeight="1" thickBot="1">
      <c r="A133" s="262" t="s">
        <v>261</v>
      </c>
      <c r="B133" s="267" t="s">
        <v>454</v>
      </c>
      <c r="C133" s="576"/>
      <c r="D133" s="576"/>
      <c r="E133" s="580"/>
    </row>
    <row r="134" spans="1:5" ht="12" customHeight="1" thickBot="1">
      <c r="A134" s="235" t="s">
        <v>18</v>
      </c>
      <c r="B134" s="269" t="s">
        <v>446</v>
      </c>
      <c r="C134" s="769">
        <f>SUM(C135:C140)</f>
        <v>0</v>
      </c>
      <c r="D134" s="769">
        <f>SUM(D135:D140)</f>
        <v>0</v>
      </c>
      <c r="E134" s="582">
        <f>SUM(E135:E140)</f>
        <v>0</v>
      </c>
    </row>
    <row r="135" spans="1:5" ht="12" customHeight="1">
      <c r="A135" s="237" t="s">
        <v>86</v>
      </c>
      <c r="B135" s="270" t="s">
        <v>455</v>
      </c>
      <c r="C135" s="576"/>
      <c r="D135" s="576"/>
      <c r="E135" s="580"/>
    </row>
    <row r="136" spans="1:5" ht="12" customHeight="1">
      <c r="A136" s="237" t="s">
        <v>87</v>
      </c>
      <c r="B136" s="270" t="s">
        <v>447</v>
      </c>
      <c r="C136" s="576"/>
      <c r="D136" s="576"/>
      <c r="E136" s="580"/>
    </row>
    <row r="137" spans="1:5" ht="12" customHeight="1">
      <c r="A137" s="237" t="s">
        <v>88</v>
      </c>
      <c r="B137" s="270" t="s">
        <v>448</v>
      </c>
      <c r="C137" s="576"/>
      <c r="D137" s="576"/>
      <c r="E137" s="580"/>
    </row>
    <row r="138" spans="1:5" ht="12" customHeight="1">
      <c r="A138" s="237" t="s">
        <v>164</v>
      </c>
      <c r="B138" s="270" t="s">
        <v>449</v>
      </c>
      <c r="C138" s="576"/>
      <c r="D138" s="576"/>
      <c r="E138" s="580"/>
    </row>
    <row r="139" spans="1:5" ht="12" customHeight="1">
      <c r="A139" s="237" t="s">
        <v>165</v>
      </c>
      <c r="B139" s="270" t="s">
        <v>450</v>
      </c>
      <c r="C139" s="576"/>
      <c r="D139" s="576"/>
      <c r="E139" s="580"/>
    </row>
    <row r="140" spans="1:5" ht="12" customHeight="1" thickBot="1">
      <c r="A140" s="262" t="s">
        <v>166</v>
      </c>
      <c r="B140" s="270" t="s">
        <v>451</v>
      </c>
      <c r="C140" s="576"/>
      <c r="D140" s="576"/>
      <c r="E140" s="580"/>
    </row>
    <row r="141" spans="1:5" ht="12" customHeight="1" thickBot="1">
      <c r="A141" s="235" t="s">
        <v>19</v>
      </c>
      <c r="B141" s="269" t="s">
        <v>459</v>
      </c>
      <c r="C141" s="770">
        <f>+C142+C143+C144+C145</f>
        <v>8090229</v>
      </c>
      <c r="D141" s="770">
        <f>+D142+D143+D144+D145</f>
        <v>8033142</v>
      </c>
      <c r="E141" s="583">
        <f>+E142+E143+E144+E145</f>
        <v>8107720</v>
      </c>
    </row>
    <row r="142" spans="1:5" ht="12" customHeight="1">
      <c r="A142" s="237" t="s">
        <v>89</v>
      </c>
      <c r="B142" s="270" t="s">
        <v>366</v>
      </c>
      <c r="C142" s="576"/>
      <c r="D142" s="576"/>
      <c r="E142" s="580"/>
    </row>
    <row r="143" spans="1:5" ht="12" customHeight="1">
      <c r="A143" s="237" t="s">
        <v>90</v>
      </c>
      <c r="B143" s="270" t="s">
        <v>367</v>
      </c>
      <c r="C143" s="576">
        <v>8090229</v>
      </c>
      <c r="D143" s="576">
        <v>8033142</v>
      </c>
      <c r="E143" s="580">
        <v>8107720</v>
      </c>
    </row>
    <row r="144" spans="1:5" ht="12" customHeight="1">
      <c r="A144" s="237" t="s">
        <v>281</v>
      </c>
      <c r="B144" s="270" t="s">
        <v>460</v>
      </c>
      <c r="C144" s="576"/>
      <c r="D144" s="576"/>
      <c r="E144" s="580"/>
    </row>
    <row r="145" spans="1:5" ht="12" customHeight="1" thickBot="1">
      <c r="A145" s="262" t="s">
        <v>282</v>
      </c>
      <c r="B145" s="271" t="s">
        <v>386</v>
      </c>
      <c r="C145" s="576"/>
      <c r="D145" s="576"/>
      <c r="E145" s="580"/>
    </row>
    <row r="146" spans="1:5" ht="12" customHeight="1" thickBot="1">
      <c r="A146" s="235" t="s">
        <v>20</v>
      </c>
      <c r="B146" s="269" t="s">
        <v>461</v>
      </c>
      <c r="C146" s="771">
        <f>SUM(C147:C151)</f>
        <v>0</v>
      </c>
      <c r="D146" s="771">
        <f>SUM(D147:D151)</f>
        <v>0</v>
      </c>
      <c r="E146" s="584">
        <f>SUM(E147:E151)</f>
        <v>0</v>
      </c>
    </row>
    <row r="147" spans="1:5" ht="12" customHeight="1">
      <c r="A147" s="237" t="s">
        <v>91</v>
      </c>
      <c r="B147" s="270" t="s">
        <v>456</v>
      </c>
      <c r="C147" s="576"/>
      <c r="D147" s="576"/>
      <c r="E147" s="580"/>
    </row>
    <row r="148" spans="1:5" ht="12" customHeight="1">
      <c r="A148" s="237" t="s">
        <v>92</v>
      </c>
      <c r="B148" s="270" t="s">
        <v>463</v>
      </c>
      <c r="C148" s="576"/>
      <c r="D148" s="576"/>
      <c r="E148" s="580"/>
    </row>
    <row r="149" spans="1:5" ht="12" customHeight="1">
      <c r="A149" s="237" t="s">
        <v>293</v>
      </c>
      <c r="B149" s="270" t="s">
        <v>458</v>
      </c>
      <c r="C149" s="576"/>
      <c r="D149" s="576"/>
      <c r="E149" s="580"/>
    </row>
    <row r="150" spans="1:5" ht="12" customHeight="1">
      <c r="A150" s="237" t="s">
        <v>294</v>
      </c>
      <c r="B150" s="270" t="s">
        <v>464</v>
      </c>
      <c r="C150" s="576"/>
      <c r="D150" s="576"/>
      <c r="E150" s="580"/>
    </row>
    <row r="151" spans="1:5" ht="12" customHeight="1" thickBot="1">
      <c r="A151" s="237" t="s">
        <v>462</v>
      </c>
      <c r="B151" s="270" t="s">
        <v>465</v>
      </c>
      <c r="C151" s="576"/>
      <c r="D151" s="576"/>
      <c r="E151" s="580"/>
    </row>
    <row r="152" spans="1:5" ht="12" customHeight="1" thickBot="1">
      <c r="A152" s="235" t="s">
        <v>21</v>
      </c>
      <c r="B152" s="269" t="s">
        <v>466</v>
      </c>
      <c r="C152" s="772"/>
      <c r="D152" s="772"/>
      <c r="E152" s="585"/>
    </row>
    <row r="153" spans="1:5" ht="12" customHeight="1" thickBot="1">
      <c r="A153" s="235" t="s">
        <v>22</v>
      </c>
      <c r="B153" s="269" t="s">
        <v>573</v>
      </c>
      <c r="C153" s="772">
        <v>141018244</v>
      </c>
      <c r="D153" s="772">
        <v>147311106</v>
      </c>
      <c r="E153" s="585">
        <v>176260688</v>
      </c>
    </row>
    <row r="154" spans="1:5" ht="15" customHeight="1" thickBot="1">
      <c r="A154" s="235" t="s">
        <v>23</v>
      </c>
      <c r="B154" s="269" t="s">
        <v>469</v>
      </c>
      <c r="C154" s="587">
        <f>+C130+C134+C141+C146+C152+C153</f>
        <v>149108473</v>
      </c>
      <c r="D154" s="587">
        <f>+D130+D134+D141+D146+D152+D153</f>
        <v>155344248</v>
      </c>
      <c r="E154" s="586">
        <f>+E130+E134+E141+E146+E152+E153</f>
        <v>184368408</v>
      </c>
    </row>
    <row r="155" spans="1:5" ht="15" customHeight="1" thickBot="1">
      <c r="A155" s="265" t="s">
        <v>24</v>
      </c>
      <c r="B155" s="272" t="s">
        <v>556</v>
      </c>
      <c r="C155" s="587"/>
      <c r="D155" s="587"/>
      <c r="E155" s="586"/>
    </row>
    <row r="156" spans="1:5" s="234" customFormat="1" ht="12.95" customHeight="1" thickBot="1">
      <c r="A156" s="273" t="s">
        <v>25</v>
      </c>
      <c r="B156" s="274" t="s">
        <v>468</v>
      </c>
      <c r="C156" s="587">
        <f>+C129+C154+C155</f>
        <v>631436136</v>
      </c>
      <c r="D156" s="587">
        <f>+D129+D154+D155</f>
        <v>712648978</v>
      </c>
      <c r="E156" s="587">
        <f>+E129+E154+E155</f>
        <v>1154843483</v>
      </c>
    </row>
    <row r="157" spans="1:5">
      <c r="C157" s="486"/>
    </row>
    <row r="158" spans="1:5">
      <c r="C158" s="588"/>
      <c r="D158" s="588"/>
      <c r="E158" s="588">
        <f>E88-E156</f>
        <v>0</v>
      </c>
    </row>
    <row r="159" spans="1:5">
      <c r="C159" s="486"/>
      <c r="D159" s="588"/>
    </row>
    <row r="160" spans="1:5" ht="16.5" customHeight="1">
      <c r="C160" s="588"/>
      <c r="D160" s="588"/>
    </row>
    <row r="161" spans="3:4">
      <c r="C161" s="486"/>
      <c r="D161" s="588"/>
    </row>
    <row r="162" spans="3:4">
      <c r="C162" s="486"/>
      <c r="D162" s="588"/>
    </row>
    <row r="163" spans="3:4">
      <c r="C163" s="486"/>
    </row>
    <row r="164" spans="3:4">
      <c r="C164" s="486"/>
    </row>
    <row r="165" spans="3:4">
      <c r="C165" s="486"/>
    </row>
    <row r="166" spans="3:4">
      <c r="C166" s="486"/>
    </row>
    <row r="167" spans="3:4">
      <c r="C167" s="486"/>
    </row>
    <row r="168" spans="3:4">
      <c r="C168" s="486"/>
    </row>
    <row r="169" spans="3:4">
      <c r="C169" s="486"/>
    </row>
  </sheetData>
  <mergeCells count="4">
    <mergeCell ref="A1:D1"/>
    <mergeCell ref="A89:D89"/>
    <mergeCell ref="A90:B90"/>
    <mergeCell ref="A2:B2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75" fitToWidth="3" fitToHeight="2" orientation="portrait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  <rowBreaks count="4" manualBreakCount="4">
    <brk id="34" max="10" man="1"/>
    <brk id="62" max="10" man="1"/>
    <brk id="88" max="10" man="1"/>
    <brk id="129" max="10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9">
    <tabColor rgb="FFFFFF00"/>
  </sheetPr>
  <dimension ref="A1:I18"/>
  <sheetViews>
    <sheetView zoomScaleNormal="100" workbookViewId="0">
      <selection activeCell="C6" sqref="C6"/>
    </sheetView>
  </sheetViews>
  <sheetFormatPr defaultRowHeight="12.75"/>
  <cols>
    <col min="1" max="1" width="6.83203125" style="223" customWidth="1"/>
    <col min="2" max="2" width="49.6640625" style="224" customWidth="1"/>
    <col min="3" max="3" width="12.83203125" style="224" customWidth="1"/>
    <col min="4" max="4" width="13.33203125" style="224" bestFit="1" customWidth="1"/>
    <col min="5" max="8" width="12.83203125" style="224" customWidth="1"/>
    <col min="9" max="9" width="14.33203125" style="224" customWidth="1"/>
    <col min="10" max="16384" width="9.33203125" style="224"/>
  </cols>
  <sheetData>
    <row r="1" spans="1:9" ht="27.75" customHeight="1">
      <c r="A1" s="827" t="s">
        <v>2</v>
      </c>
      <c r="B1" s="827"/>
      <c r="C1" s="827"/>
      <c r="D1" s="827"/>
      <c r="E1" s="827"/>
      <c r="F1" s="827"/>
      <c r="G1" s="827"/>
      <c r="H1" s="827"/>
      <c r="I1" s="827"/>
    </row>
    <row r="2" spans="1:9" ht="20.25" customHeight="1" thickBot="1">
      <c r="I2" s="308" t="s">
        <v>581</v>
      </c>
    </row>
    <row r="3" spans="1:9" s="309" customFormat="1" ht="26.25" customHeight="1">
      <c r="A3" s="781" t="s">
        <v>64</v>
      </c>
      <c r="B3" s="830" t="s">
        <v>80</v>
      </c>
      <c r="C3" s="781" t="s">
        <v>81</v>
      </c>
      <c r="D3" s="781" t="s">
        <v>682</v>
      </c>
      <c r="E3" s="832" t="s">
        <v>63</v>
      </c>
      <c r="F3" s="833"/>
      <c r="G3" s="833"/>
      <c r="H3" s="834"/>
      <c r="I3" s="830" t="s">
        <v>46</v>
      </c>
    </row>
    <row r="4" spans="1:9" s="312" customFormat="1" ht="32.25" customHeight="1" thickBot="1">
      <c r="A4" s="782"/>
      <c r="B4" s="831"/>
      <c r="C4" s="831"/>
      <c r="D4" s="782"/>
      <c r="E4" s="310" t="s">
        <v>588</v>
      </c>
      <c r="F4" s="310" t="s">
        <v>595</v>
      </c>
      <c r="G4" s="310" t="s">
        <v>596</v>
      </c>
      <c r="H4" s="311" t="s">
        <v>683</v>
      </c>
      <c r="I4" s="831"/>
    </row>
    <row r="5" spans="1:9" s="316" customFormat="1" ht="12.95" customHeight="1" thickBot="1">
      <c r="A5" s="313" t="s">
        <v>483</v>
      </c>
      <c r="B5" s="169" t="s">
        <v>484</v>
      </c>
      <c r="C5" s="314" t="s">
        <v>485</v>
      </c>
      <c r="D5" s="169" t="s">
        <v>487</v>
      </c>
      <c r="E5" s="313" t="s">
        <v>486</v>
      </c>
      <c r="F5" s="314" t="s">
        <v>488</v>
      </c>
      <c r="G5" s="314" t="s">
        <v>490</v>
      </c>
      <c r="H5" s="171" t="s">
        <v>491</v>
      </c>
      <c r="I5" s="315" t="s">
        <v>492</v>
      </c>
    </row>
    <row r="6" spans="1:9" ht="24.75" customHeight="1" thickBot="1">
      <c r="A6" s="170" t="s">
        <v>14</v>
      </c>
      <c r="B6" s="317" t="s">
        <v>3</v>
      </c>
      <c r="C6" s="318"/>
      <c r="D6" s="319">
        <f>+D7+D8</f>
        <v>0</v>
      </c>
      <c r="E6" s="320">
        <f>+E7+E8</f>
        <v>0</v>
      </c>
      <c r="F6" s="321">
        <f>+F7+F8</f>
        <v>0</v>
      </c>
      <c r="G6" s="321">
        <f>+G7+G8</f>
        <v>0</v>
      </c>
      <c r="H6" s="322">
        <f>+H7+H8</f>
        <v>0</v>
      </c>
      <c r="I6" s="319">
        <f t="shared" ref="I6:I17" si="0">SUM(D6:H6)</f>
        <v>0</v>
      </c>
    </row>
    <row r="7" spans="1:9" ht="20.100000000000001" customHeight="1">
      <c r="A7" s="323" t="s">
        <v>15</v>
      </c>
      <c r="B7" s="324" t="s">
        <v>65</v>
      </c>
      <c r="C7" s="229"/>
      <c r="D7" s="325"/>
      <c r="E7" s="326"/>
      <c r="F7" s="327"/>
      <c r="G7" s="327"/>
      <c r="H7" s="328"/>
      <c r="I7" s="329">
        <f t="shared" si="0"/>
        <v>0</v>
      </c>
    </row>
    <row r="8" spans="1:9" ht="20.100000000000001" customHeight="1" thickBot="1">
      <c r="A8" s="323" t="s">
        <v>16</v>
      </c>
      <c r="B8" s="324" t="s">
        <v>65</v>
      </c>
      <c r="C8" s="229"/>
      <c r="D8" s="325"/>
      <c r="E8" s="326"/>
      <c r="F8" s="327"/>
      <c r="G8" s="327"/>
      <c r="H8" s="328"/>
      <c r="I8" s="329">
        <f t="shared" si="0"/>
        <v>0</v>
      </c>
    </row>
    <row r="9" spans="1:9" ht="26.1" customHeight="1" thickBot="1">
      <c r="A9" s="170" t="s">
        <v>17</v>
      </c>
      <c r="B9" s="317" t="s">
        <v>4</v>
      </c>
      <c r="C9" s="330"/>
      <c r="D9" s="319">
        <f>+D10+D11</f>
        <v>0</v>
      </c>
      <c r="E9" s="320">
        <f>+E10+E11</f>
        <v>0</v>
      </c>
      <c r="F9" s="321">
        <f>+F10+F11</f>
        <v>0</v>
      </c>
      <c r="G9" s="321">
        <f>+G10+G11</f>
        <v>0</v>
      </c>
      <c r="H9" s="322">
        <f>+H10+H11</f>
        <v>0</v>
      </c>
      <c r="I9" s="439">
        <f t="shared" si="0"/>
        <v>0</v>
      </c>
    </row>
    <row r="10" spans="1:9" ht="20.100000000000001" customHeight="1">
      <c r="A10" s="323" t="s">
        <v>18</v>
      </c>
      <c r="B10" s="324" t="s">
        <v>65</v>
      </c>
      <c r="C10" s="229"/>
      <c r="D10" s="325"/>
      <c r="E10" s="326"/>
      <c r="F10" s="327"/>
      <c r="G10" s="327"/>
      <c r="H10" s="328"/>
      <c r="I10" s="329">
        <f t="shared" si="0"/>
        <v>0</v>
      </c>
    </row>
    <row r="11" spans="1:9" ht="20.100000000000001" customHeight="1" thickBot="1">
      <c r="A11" s="323" t="s">
        <v>19</v>
      </c>
      <c r="B11" s="324" t="s">
        <v>65</v>
      </c>
      <c r="C11" s="229"/>
      <c r="D11" s="325"/>
      <c r="E11" s="326"/>
      <c r="F11" s="327"/>
      <c r="G11" s="327"/>
      <c r="H11" s="328"/>
      <c r="I11" s="329">
        <f t="shared" si="0"/>
        <v>0</v>
      </c>
    </row>
    <row r="12" spans="1:9" ht="20.100000000000001" customHeight="1" thickBot="1">
      <c r="A12" s="170" t="s">
        <v>20</v>
      </c>
      <c r="B12" s="317" t="s">
        <v>195</v>
      </c>
      <c r="C12" s="330"/>
      <c r="D12" s="319">
        <f>+D13</f>
        <v>0</v>
      </c>
      <c r="E12" s="320">
        <f>+E13</f>
        <v>0</v>
      </c>
      <c r="F12" s="321">
        <f>+F13</f>
        <v>0</v>
      </c>
      <c r="G12" s="321">
        <f>+G13</f>
        <v>0</v>
      </c>
      <c r="H12" s="322">
        <f>+H13</f>
        <v>0</v>
      </c>
      <c r="I12" s="319">
        <f t="shared" si="0"/>
        <v>0</v>
      </c>
    </row>
    <row r="13" spans="1:9" ht="20.100000000000001" customHeight="1" thickBot="1">
      <c r="A13" s="323" t="s">
        <v>21</v>
      </c>
      <c r="B13" s="324" t="s">
        <v>65</v>
      </c>
      <c r="C13" s="229"/>
      <c r="D13" s="325"/>
      <c r="E13" s="326"/>
      <c r="F13" s="327"/>
      <c r="G13" s="327"/>
      <c r="H13" s="328"/>
      <c r="I13" s="329">
        <f t="shared" si="0"/>
        <v>0</v>
      </c>
    </row>
    <row r="14" spans="1:9" ht="20.100000000000001" customHeight="1" thickBot="1">
      <c r="A14" s="170" t="s">
        <v>22</v>
      </c>
      <c r="B14" s="317" t="s">
        <v>196</v>
      </c>
      <c r="C14" s="330"/>
      <c r="D14" s="319">
        <f>+D15</f>
        <v>0</v>
      </c>
      <c r="E14" s="320">
        <f>+E15</f>
        <v>0</v>
      </c>
      <c r="F14" s="321">
        <f>+F15</f>
        <v>0</v>
      </c>
      <c r="G14" s="321">
        <f>+G15</f>
        <v>0</v>
      </c>
      <c r="H14" s="322">
        <f>+H15</f>
        <v>0</v>
      </c>
      <c r="I14" s="319">
        <f t="shared" si="0"/>
        <v>0</v>
      </c>
    </row>
    <row r="15" spans="1:9" ht="20.100000000000001" customHeight="1" thickBot="1">
      <c r="A15" s="331" t="s">
        <v>23</v>
      </c>
      <c r="B15" s="332" t="s">
        <v>65</v>
      </c>
      <c r="C15" s="230"/>
      <c r="D15" s="333"/>
      <c r="E15" s="334"/>
      <c r="F15" s="335"/>
      <c r="G15" s="335"/>
      <c r="H15" s="336"/>
      <c r="I15" s="337">
        <f t="shared" si="0"/>
        <v>0</v>
      </c>
    </row>
    <row r="16" spans="1:9" ht="20.100000000000001" customHeight="1" thickBot="1">
      <c r="A16" s="170" t="s">
        <v>24</v>
      </c>
      <c r="B16" s="317" t="s">
        <v>197</v>
      </c>
      <c r="C16" s="330"/>
      <c r="D16" s="319">
        <f>+D17</f>
        <v>0</v>
      </c>
      <c r="E16" s="320">
        <f>+E17</f>
        <v>0</v>
      </c>
      <c r="F16" s="321">
        <f>+F17</f>
        <v>0</v>
      </c>
      <c r="G16" s="321">
        <f>+G17</f>
        <v>0</v>
      </c>
      <c r="H16" s="322">
        <f>+H17</f>
        <v>0</v>
      </c>
      <c r="I16" s="319">
        <f t="shared" si="0"/>
        <v>0</v>
      </c>
    </row>
    <row r="17" spans="1:9" ht="20.100000000000001" customHeight="1" thickBot="1">
      <c r="A17" s="338" t="s">
        <v>25</v>
      </c>
      <c r="B17" s="339" t="s">
        <v>65</v>
      </c>
      <c r="C17" s="340"/>
      <c r="D17" s="341"/>
      <c r="E17" s="342"/>
      <c r="F17" s="343"/>
      <c r="G17" s="343"/>
      <c r="H17" s="344"/>
      <c r="I17" s="345">
        <f t="shared" si="0"/>
        <v>0</v>
      </c>
    </row>
    <row r="18" spans="1:9" ht="20.100000000000001" customHeight="1" thickBot="1">
      <c r="A18" s="828" t="s">
        <v>137</v>
      </c>
      <c r="B18" s="829"/>
      <c r="C18" s="346"/>
      <c r="D18" s="319">
        <f t="shared" ref="D18:I18" si="1">+D6+D9+D12+D14+D16</f>
        <v>0</v>
      </c>
      <c r="E18" s="320">
        <f t="shared" si="1"/>
        <v>0</v>
      </c>
      <c r="F18" s="321">
        <f t="shared" si="1"/>
        <v>0</v>
      </c>
      <c r="G18" s="321">
        <f t="shared" si="1"/>
        <v>0</v>
      </c>
      <c r="H18" s="322">
        <f t="shared" si="1"/>
        <v>0</v>
      </c>
      <c r="I18" s="319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6" bottom="0.98425196850393704" header="0.78740157480314965" footer="0.78740157480314965"/>
  <pageSetup paperSize="9" scale="64" orientation="portrait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FFC000"/>
  </sheetPr>
  <dimension ref="A1:C159"/>
  <sheetViews>
    <sheetView view="pageLayout" zoomScaleNormal="100" zoomScaleSheetLayoutView="100" workbookViewId="0">
      <selection activeCell="C45" sqref="C45"/>
    </sheetView>
  </sheetViews>
  <sheetFormatPr defaultRowHeight="12.75"/>
  <cols>
    <col min="1" max="1" width="7.1640625" style="117" bestFit="1" customWidth="1"/>
    <col min="2" max="2" width="67.1640625" style="118" bestFit="1" customWidth="1"/>
    <col min="3" max="3" width="21.33203125" style="745" customWidth="1"/>
    <col min="4" max="16384" width="9.33203125" style="119"/>
  </cols>
  <sheetData>
    <row r="1" spans="1:3" s="33" customFormat="1" ht="15.75">
      <c r="B1" s="391" t="s">
        <v>645</v>
      </c>
      <c r="C1" s="508"/>
    </row>
    <row r="2" spans="1:3" s="33" customFormat="1" ht="15.75">
      <c r="B2" s="391" t="s">
        <v>674</v>
      </c>
      <c r="C2" s="508"/>
    </row>
    <row r="3" spans="1:3" s="33" customFormat="1" ht="15.75">
      <c r="B3" s="394" t="s">
        <v>647</v>
      </c>
      <c r="C3" s="508"/>
    </row>
    <row r="6" spans="1:3" s="33" customFormat="1" ht="15.95" customHeight="1">
      <c r="A6" s="778" t="s">
        <v>577</v>
      </c>
      <c r="B6" s="778"/>
    </row>
    <row r="7" spans="1:3" s="33" customFormat="1" ht="15.95" customHeight="1" thickBot="1">
      <c r="A7" s="779" t="s">
        <v>142</v>
      </c>
      <c r="B7" s="779"/>
      <c r="C7" s="740" t="s">
        <v>581</v>
      </c>
    </row>
    <row r="8" spans="1:3" s="33" customFormat="1" ht="38.1" customHeight="1" thickBot="1">
      <c r="A8" s="34" t="s">
        <v>64</v>
      </c>
      <c r="B8" s="35" t="s">
        <v>13</v>
      </c>
      <c r="C8" s="693" t="s">
        <v>692</v>
      </c>
    </row>
    <row r="9" spans="1:3" s="38" customFormat="1" ht="12" customHeight="1" thickBot="1">
      <c r="A9" s="36" t="s">
        <v>483</v>
      </c>
      <c r="B9" s="37" t="s">
        <v>484</v>
      </c>
      <c r="C9" s="646" t="s">
        <v>485</v>
      </c>
    </row>
    <row r="10" spans="1:3" s="42" customFormat="1" ht="12" customHeight="1" thickBot="1">
      <c r="A10" s="39" t="s">
        <v>14</v>
      </c>
      <c r="B10" s="40" t="s">
        <v>241</v>
      </c>
      <c r="C10" s="582">
        <f>+C11+C12+C13+C14+C15+C16</f>
        <v>0</v>
      </c>
    </row>
    <row r="11" spans="1:3" s="42" customFormat="1" ht="12" customHeight="1">
      <c r="A11" s="43" t="s">
        <v>93</v>
      </c>
      <c r="B11" s="44" t="s">
        <v>242</v>
      </c>
      <c r="C11" s="579"/>
    </row>
    <row r="12" spans="1:3" s="42" customFormat="1" ht="12" customHeight="1">
      <c r="A12" s="46" t="s">
        <v>94</v>
      </c>
      <c r="B12" s="47" t="s">
        <v>243</v>
      </c>
      <c r="C12" s="574"/>
    </row>
    <row r="13" spans="1:3" s="42" customFormat="1" ht="12" customHeight="1">
      <c r="A13" s="46" t="s">
        <v>95</v>
      </c>
      <c r="B13" s="47" t="s">
        <v>244</v>
      </c>
      <c r="C13" s="574"/>
    </row>
    <row r="14" spans="1:3" s="42" customFormat="1" ht="12" customHeight="1">
      <c r="A14" s="46" t="s">
        <v>96</v>
      </c>
      <c r="B14" s="47" t="s">
        <v>245</v>
      </c>
      <c r="C14" s="574"/>
    </row>
    <row r="15" spans="1:3" s="42" customFormat="1" ht="12" customHeight="1">
      <c r="A15" s="46" t="s">
        <v>139</v>
      </c>
      <c r="B15" s="49" t="s">
        <v>426</v>
      </c>
      <c r="C15" s="574"/>
    </row>
    <row r="16" spans="1:3" s="42" customFormat="1" ht="12" customHeight="1" thickBot="1">
      <c r="A16" s="50" t="s">
        <v>97</v>
      </c>
      <c r="B16" s="51" t="s">
        <v>427</v>
      </c>
      <c r="C16" s="574"/>
    </row>
    <row r="17" spans="1:3" s="42" customFormat="1" ht="12" customHeight="1" thickBot="1">
      <c r="A17" s="39" t="s">
        <v>15</v>
      </c>
      <c r="B17" s="52" t="s">
        <v>246</v>
      </c>
      <c r="C17" s="582">
        <f>+C18+C19+C20+C21+C22</f>
        <v>0</v>
      </c>
    </row>
    <row r="18" spans="1:3" s="42" customFormat="1" ht="12" customHeight="1">
      <c r="A18" s="43" t="s">
        <v>99</v>
      </c>
      <c r="B18" s="44" t="s">
        <v>247</v>
      </c>
      <c r="C18" s="579"/>
    </row>
    <row r="19" spans="1:3" s="42" customFormat="1" ht="12" customHeight="1">
      <c r="A19" s="46" t="s">
        <v>100</v>
      </c>
      <c r="B19" s="47" t="s">
        <v>248</v>
      </c>
      <c r="C19" s="574"/>
    </row>
    <row r="20" spans="1:3" s="42" customFormat="1" ht="12" customHeight="1">
      <c r="A20" s="46" t="s">
        <v>101</v>
      </c>
      <c r="B20" s="47" t="s">
        <v>416</v>
      </c>
      <c r="C20" s="574"/>
    </row>
    <row r="21" spans="1:3" s="42" customFormat="1" ht="12" customHeight="1">
      <c r="A21" s="46" t="s">
        <v>102</v>
      </c>
      <c r="B21" s="47" t="s">
        <v>417</v>
      </c>
      <c r="C21" s="574"/>
    </row>
    <row r="22" spans="1:3" s="42" customFormat="1" ht="12" customHeight="1">
      <c r="A22" s="46" t="s">
        <v>103</v>
      </c>
      <c r="B22" s="47" t="s">
        <v>249</v>
      </c>
      <c r="C22" s="574"/>
    </row>
    <row r="23" spans="1:3" s="42" customFormat="1" ht="12" customHeight="1" thickBot="1">
      <c r="A23" s="50" t="s">
        <v>112</v>
      </c>
      <c r="B23" s="51" t="s">
        <v>250</v>
      </c>
      <c r="C23" s="575"/>
    </row>
    <row r="24" spans="1:3" s="42" customFormat="1" ht="12" customHeight="1" thickBot="1">
      <c r="A24" s="39" t="s">
        <v>16</v>
      </c>
      <c r="B24" s="40" t="s">
        <v>251</v>
      </c>
      <c r="C24" s="582">
        <f>+C25+C26+C27+C28+C29</f>
        <v>0</v>
      </c>
    </row>
    <row r="25" spans="1:3" s="42" customFormat="1" ht="12" customHeight="1">
      <c r="A25" s="43" t="s">
        <v>82</v>
      </c>
      <c r="B25" s="44" t="s">
        <v>252</v>
      </c>
      <c r="C25" s="579"/>
    </row>
    <row r="26" spans="1:3" s="42" customFormat="1" ht="12" customHeight="1">
      <c r="A26" s="46" t="s">
        <v>83</v>
      </c>
      <c r="B26" s="47" t="s">
        <v>253</v>
      </c>
      <c r="C26" s="574"/>
    </row>
    <row r="27" spans="1:3" s="42" customFormat="1" ht="12" customHeight="1">
      <c r="A27" s="46" t="s">
        <v>84</v>
      </c>
      <c r="B27" s="47" t="s">
        <v>418</v>
      </c>
      <c r="C27" s="574"/>
    </row>
    <row r="28" spans="1:3" s="42" customFormat="1" ht="12" customHeight="1">
      <c r="A28" s="46" t="s">
        <v>85</v>
      </c>
      <c r="B28" s="47" t="s">
        <v>419</v>
      </c>
      <c r="C28" s="574"/>
    </row>
    <row r="29" spans="1:3" s="42" customFormat="1" ht="12" customHeight="1">
      <c r="A29" s="46" t="s">
        <v>160</v>
      </c>
      <c r="B29" s="47" t="s">
        <v>254</v>
      </c>
      <c r="C29" s="574"/>
    </row>
    <row r="30" spans="1:3" s="42" customFormat="1" ht="12" customHeight="1" thickBot="1">
      <c r="A30" s="50" t="s">
        <v>161</v>
      </c>
      <c r="B30" s="54" t="s">
        <v>255</v>
      </c>
      <c r="C30" s="575"/>
    </row>
    <row r="31" spans="1:3" s="42" customFormat="1" ht="12" customHeight="1" thickBot="1">
      <c r="A31" s="39" t="s">
        <v>162</v>
      </c>
      <c r="B31" s="40" t="s">
        <v>256</v>
      </c>
      <c r="C31" s="583">
        <f>+C32+C36+C37+C38</f>
        <v>0</v>
      </c>
    </row>
    <row r="32" spans="1:3" s="42" customFormat="1" ht="12" customHeight="1">
      <c r="A32" s="43" t="s">
        <v>257</v>
      </c>
      <c r="B32" s="112" t="s">
        <v>433</v>
      </c>
      <c r="C32" s="636">
        <f>C33+C34+C35</f>
        <v>0</v>
      </c>
    </row>
    <row r="33" spans="1:3" s="42" customFormat="1" ht="12" customHeight="1">
      <c r="A33" s="46" t="s">
        <v>258</v>
      </c>
      <c r="B33" s="113" t="s">
        <v>593</v>
      </c>
      <c r="C33" s="574"/>
    </row>
    <row r="34" spans="1:3" s="42" customFormat="1" ht="12" customHeight="1">
      <c r="A34" s="46" t="s">
        <v>259</v>
      </c>
      <c r="B34" s="113" t="s">
        <v>594</v>
      </c>
      <c r="C34" s="574"/>
    </row>
    <row r="35" spans="1:3" s="42" customFormat="1" ht="12" customHeight="1">
      <c r="A35" s="46" t="s">
        <v>431</v>
      </c>
      <c r="B35" s="114" t="s">
        <v>432</v>
      </c>
      <c r="C35" s="574"/>
    </row>
    <row r="36" spans="1:3" s="42" customFormat="1" ht="12" customHeight="1">
      <c r="A36" s="46" t="s">
        <v>260</v>
      </c>
      <c r="B36" s="113" t="s">
        <v>265</v>
      </c>
      <c r="C36" s="574"/>
    </row>
    <row r="37" spans="1:3" s="42" customFormat="1" ht="12" customHeight="1">
      <c r="A37" s="46" t="s">
        <v>261</v>
      </c>
      <c r="B37" s="113" t="s">
        <v>575</v>
      </c>
      <c r="C37" s="574"/>
    </row>
    <row r="38" spans="1:3" s="42" customFormat="1" ht="12" customHeight="1" thickBot="1">
      <c r="A38" s="50" t="s">
        <v>262</v>
      </c>
      <c r="B38" s="115" t="s">
        <v>267</v>
      </c>
      <c r="C38" s="575"/>
    </row>
    <row r="39" spans="1:3" s="42" customFormat="1" ht="12" customHeight="1" thickBot="1">
      <c r="A39" s="39" t="s">
        <v>18</v>
      </c>
      <c r="B39" s="40" t="s">
        <v>428</v>
      </c>
      <c r="C39" s="582">
        <f>SUM(C40:C50)</f>
        <v>118146829</v>
      </c>
    </row>
    <row r="40" spans="1:3" s="42" customFormat="1" ht="12" customHeight="1">
      <c r="A40" s="43" t="s">
        <v>86</v>
      </c>
      <c r="B40" s="44" t="s">
        <v>270</v>
      </c>
      <c r="C40" s="579"/>
    </row>
    <row r="41" spans="1:3" s="42" customFormat="1" ht="12" customHeight="1">
      <c r="A41" s="46" t="s">
        <v>87</v>
      </c>
      <c r="B41" s="47" t="s">
        <v>271</v>
      </c>
      <c r="C41" s="574">
        <f>92359314</f>
        <v>92359314</v>
      </c>
    </row>
    <row r="42" spans="1:3" s="42" customFormat="1" ht="12" customHeight="1">
      <c r="A42" s="46" t="s">
        <v>88</v>
      </c>
      <c r="B42" s="47" t="s">
        <v>272</v>
      </c>
      <c r="C42" s="574"/>
    </row>
    <row r="43" spans="1:3" s="42" customFormat="1" ht="12" customHeight="1">
      <c r="A43" s="46" t="s">
        <v>164</v>
      </c>
      <c r="B43" s="47" t="s">
        <v>273</v>
      </c>
      <c r="C43" s="574"/>
    </row>
    <row r="44" spans="1:3" s="42" customFormat="1" ht="12" customHeight="1">
      <c r="A44" s="46" t="s">
        <v>165</v>
      </c>
      <c r="B44" s="47" t="s">
        <v>274</v>
      </c>
      <c r="C44" s="574"/>
    </row>
    <row r="45" spans="1:3" s="42" customFormat="1" ht="12" customHeight="1">
      <c r="A45" s="46" t="s">
        <v>166</v>
      </c>
      <c r="B45" s="47" t="s">
        <v>275</v>
      </c>
      <c r="C45" s="574">
        <f>25787515</f>
        <v>25787515</v>
      </c>
    </row>
    <row r="46" spans="1:3" s="42" customFormat="1" ht="12" customHeight="1">
      <c r="A46" s="46" t="s">
        <v>167</v>
      </c>
      <c r="B46" s="47" t="s">
        <v>276</v>
      </c>
      <c r="C46" s="574"/>
    </row>
    <row r="47" spans="1:3" s="42" customFormat="1" ht="12" customHeight="1">
      <c r="A47" s="46" t="s">
        <v>168</v>
      </c>
      <c r="B47" s="47" t="s">
        <v>277</v>
      </c>
      <c r="C47" s="741"/>
    </row>
    <row r="48" spans="1:3" s="42" customFormat="1" ht="12" customHeight="1">
      <c r="A48" s="46" t="s">
        <v>268</v>
      </c>
      <c r="B48" s="47" t="s">
        <v>278</v>
      </c>
      <c r="C48" s="741"/>
    </row>
    <row r="49" spans="1:3" s="42" customFormat="1" ht="12" customHeight="1">
      <c r="A49" s="50" t="s">
        <v>269</v>
      </c>
      <c r="B49" s="54" t="s">
        <v>430</v>
      </c>
      <c r="C49" s="742"/>
    </row>
    <row r="50" spans="1:3" s="42" customFormat="1" ht="12" customHeight="1" thickBot="1">
      <c r="A50" s="50" t="s">
        <v>429</v>
      </c>
      <c r="B50" s="51" t="s">
        <v>279</v>
      </c>
      <c r="C50" s="742"/>
    </row>
    <row r="51" spans="1:3" s="42" customFormat="1" ht="12" customHeight="1" thickBot="1">
      <c r="A51" s="39" t="s">
        <v>19</v>
      </c>
      <c r="B51" s="40" t="s">
        <v>280</v>
      </c>
      <c r="C51" s="582">
        <f>SUM(C52:C56)</f>
        <v>7000000</v>
      </c>
    </row>
    <row r="52" spans="1:3" s="42" customFormat="1" ht="12" customHeight="1">
      <c r="A52" s="43" t="s">
        <v>89</v>
      </c>
      <c r="B52" s="44" t="s">
        <v>284</v>
      </c>
      <c r="C52" s="743"/>
    </row>
    <row r="53" spans="1:3" s="42" customFormat="1" ht="12" customHeight="1">
      <c r="A53" s="46" t="s">
        <v>90</v>
      </c>
      <c r="B53" s="47" t="s">
        <v>285</v>
      </c>
      <c r="C53" s="741">
        <v>7000000</v>
      </c>
    </row>
    <row r="54" spans="1:3" s="42" customFormat="1" ht="12" customHeight="1">
      <c r="A54" s="46" t="s">
        <v>281</v>
      </c>
      <c r="B54" s="47" t="s">
        <v>286</v>
      </c>
      <c r="C54" s="741"/>
    </row>
    <row r="55" spans="1:3" s="42" customFormat="1" ht="12" customHeight="1">
      <c r="A55" s="46" t="s">
        <v>282</v>
      </c>
      <c r="B55" s="47" t="s">
        <v>287</v>
      </c>
      <c r="C55" s="741"/>
    </row>
    <row r="56" spans="1:3" s="42" customFormat="1" ht="12" customHeight="1" thickBot="1">
      <c r="A56" s="50" t="s">
        <v>283</v>
      </c>
      <c r="B56" s="51" t="s">
        <v>288</v>
      </c>
      <c r="C56" s="742"/>
    </row>
    <row r="57" spans="1:3" s="42" customFormat="1" ht="12" customHeight="1" thickBot="1">
      <c r="A57" s="39" t="s">
        <v>169</v>
      </c>
      <c r="B57" s="40" t="s">
        <v>289</v>
      </c>
      <c r="C57" s="582">
        <f>SUM(C58:C60)</f>
        <v>0</v>
      </c>
    </row>
    <row r="58" spans="1:3" s="42" customFormat="1" ht="12" customHeight="1">
      <c r="A58" s="43" t="s">
        <v>91</v>
      </c>
      <c r="B58" s="44" t="s">
        <v>290</v>
      </c>
      <c r="C58" s="579"/>
    </row>
    <row r="59" spans="1:3" s="42" customFormat="1" ht="12" customHeight="1">
      <c r="A59" s="46" t="s">
        <v>92</v>
      </c>
      <c r="B59" s="47" t="s">
        <v>420</v>
      </c>
      <c r="C59" s="574"/>
    </row>
    <row r="60" spans="1:3" s="42" customFormat="1" ht="12" customHeight="1">
      <c r="A60" s="46" t="s">
        <v>293</v>
      </c>
      <c r="B60" s="47" t="s">
        <v>291</v>
      </c>
      <c r="C60" s="574"/>
    </row>
    <row r="61" spans="1:3" s="42" customFormat="1" ht="12" customHeight="1" thickBot="1">
      <c r="A61" s="50" t="s">
        <v>294</v>
      </c>
      <c r="B61" s="51" t="s">
        <v>292</v>
      </c>
      <c r="C61" s="575"/>
    </row>
    <row r="62" spans="1:3" s="42" customFormat="1" ht="12" customHeight="1" thickBot="1">
      <c r="A62" s="39" t="s">
        <v>21</v>
      </c>
      <c r="B62" s="52" t="s">
        <v>295</v>
      </c>
      <c r="C62" s="582">
        <f>SUM(C63:C65)</f>
        <v>100000</v>
      </c>
    </row>
    <row r="63" spans="1:3" s="42" customFormat="1" ht="12" customHeight="1">
      <c r="A63" s="43" t="s">
        <v>170</v>
      </c>
      <c r="B63" s="44" t="s">
        <v>297</v>
      </c>
      <c r="C63" s="741"/>
    </row>
    <row r="64" spans="1:3" s="42" customFormat="1" ht="12" customHeight="1">
      <c r="A64" s="46" t="s">
        <v>171</v>
      </c>
      <c r="B64" s="47" t="s">
        <v>421</v>
      </c>
      <c r="C64" s="741">
        <v>100000</v>
      </c>
    </row>
    <row r="65" spans="1:3" s="42" customFormat="1" ht="12" customHeight="1">
      <c r="A65" s="46" t="s">
        <v>218</v>
      </c>
      <c r="B65" s="47" t="s">
        <v>298</v>
      </c>
      <c r="C65" s="741"/>
    </row>
    <row r="66" spans="1:3" s="42" customFormat="1" ht="12" customHeight="1" thickBot="1">
      <c r="A66" s="50" t="s">
        <v>296</v>
      </c>
      <c r="B66" s="51" t="s">
        <v>299</v>
      </c>
      <c r="C66" s="741"/>
    </row>
    <row r="67" spans="1:3" s="42" customFormat="1" ht="12" customHeight="1" thickBot="1">
      <c r="A67" s="61" t="s">
        <v>472</v>
      </c>
      <c r="B67" s="40" t="s">
        <v>300</v>
      </c>
      <c r="C67" s="583">
        <f>+C10+C17+C24+C31+C39+C51+C57+C62</f>
        <v>125246829</v>
      </c>
    </row>
    <row r="68" spans="1:3" s="42" customFormat="1" ht="12" customHeight="1" thickBot="1">
      <c r="A68" s="62" t="s">
        <v>301</v>
      </c>
      <c r="B68" s="52" t="s">
        <v>302</v>
      </c>
      <c r="C68" s="582">
        <f>SUM(C69:C71)</f>
        <v>0</v>
      </c>
    </row>
    <row r="69" spans="1:3" s="42" customFormat="1" ht="12" customHeight="1">
      <c r="A69" s="43" t="s">
        <v>333</v>
      </c>
      <c r="B69" s="44" t="s">
        <v>303</v>
      </c>
      <c r="C69" s="741"/>
    </row>
    <row r="70" spans="1:3" s="42" customFormat="1" ht="12" customHeight="1">
      <c r="A70" s="46" t="s">
        <v>342</v>
      </c>
      <c r="B70" s="47" t="s">
        <v>304</v>
      </c>
      <c r="C70" s="741"/>
    </row>
    <row r="71" spans="1:3" s="42" customFormat="1" ht="12" customHeight="1" thickBot="1">
      <c r="A71" s="50" t="s">
        <v>343</v>
      </c>
      <c r="B71" s="63" t="s">
        <v>457</v>
      </c>
      <c r="C71" s="741"/>
    </row>
    <row r="72" spans="1:3" s="42" customFormat="1" ht="12" customHeight="1" thickBot="1">
      <c r="A72" s="62" t="s">
        <v>306</v>
      </c>
      <c r="B72" s="52" t="s">
        <v>307</v>
      </c>
      <c r="C72" s="582">
        <f>SUM(C73:C76)</f>
        <v>0</v>
      </c>
    </row>
    <row r="73" spans="1:3" s="42" customFormat="1" ht="12" customHeight="1">
      <c r="A73" s="43" t="s">
        <v>140</v>
      </c>
      <c r="B73" s="44" t="s">
        <v>308</v>
      </c>
      <c r="C73" s="741"/>
    </row>
    <row r="74" spans="1:3" s="42" customFormat="1" ht="12" customHeight="1">
      <c r="A74" s="46" t="s">
        <v>141</v>
      </c>
      <c r="B74" s="47" t="s">
        <v>309</v>
      </c>
      <c r="C74" s="741"/>
    </row>
    <row r="75" spans="1:3" s="42" customFormat="1" ht="12" customHeight="1">
      <c r="A75" s="46" t="s">
        <v>334</v>
      </c>
      <c r="B75" s="47" t="s">
        <v>310</v>
      </c>
      <c r="C75" s="741"/>
    </row>
    <row r="76" spans="1:3" s="42" customFormat="1" ht="12" customHeight="1" thickBot="1">
      <c r="A76" s="50" t="s">
        <v>335</v>
      </c>
      <c r="B76" s="51" t="s">
        <v>311</v>
      </c>
      <c r="C76" s="741"/>
    </row>
    <row r="77" spans="1:3" s="42" customFormat="1" ht="12" customHeight="1" thickBot="1">
      <c r="A77" s="62" t="s">
        <v>312</v>
      </c>
      <c r="B77" s="52" t="s">
        <v>313</v>
      </c>
      <c r="C77" s="582">
        <f>SUM(C78:C79)</f>
        <v>0</v>
      </c>
    </row>
    <row r="78" spans="1:3" s="42" customFormat="1" ht="12" customHeight="1">
      <c r="A78" s="43" t="s">
        <v>336</v>
      </c>
      <c r="B78" s="44" t="s">
        <v>314</v>
      </c>
      <c r="C78" s="741"/>
    </row>
    <row r="79" spans="1:3" s="42" customFormat="1" ht="12" customHeight="1" thickBot="1">
      <c r="A79" s="50" t="s">
        <v>337</v>
      </c>
      <c r="B79" s="51" t="s">
        <v>315</v>
      </c>
      <c r="C79" s="741"/>
    </row>
    <row r="80" spans="1:3" s="42" customFormat="1" ht="12" customHeight="1" thickBot="1">
      <c r="A80" s="62" t="s">
        <v>316</v>
      </c>
      <c r="B80" s="52" t="s">
        <v>317</v>
      </c>
      <c r="C80" s="582">
        <f>SUM(C81:C83)</f>
        <v>0</v>
      </c>
    </row>
    <row r="81" spans="1:3" s="42" customFormat="1" ht="12" customHeight="1">
      <c r="A81" s="43" t="s">
        <v>338</v>
      </c>
      <c r="B81" s="44" t="s">
        <v>318</v>
      </c>
      <c r="C81" s="741"/>
    </row>
    <row r="82" spans="1:3" s="42" customFormat="1" ht="12" customHeight="1">
      <c r="A82" s="46" t="s">
        <v>339</v>
      </c>
      <c r="B82" s="47" t="s">
        <v>319</v>
      </c>
      <c r="C82" s="741"/>
    </row>
    <row r="83" spans="1:3" s="42" customFormat="1" ht="12" customHeight="1" thickBot="1">
      <c r="A83" s="50" t="s">
        <v>340</v>
      </c>
      <c r="B83" s="51" t="s">
        <v>320</v>
      </c>
      <c r="C83" s="741"/>
    </row>
    <row r="84" spans="1:3" s="42" customFormat="1" ht="12" customHeight="1" thickBot="1">
      <c r="A84" s="62" t="s">
        <v>321</v>
      </c>
      <c r="B84" s="52" t="s">
        <v>341</v>
      </c>
      <c r="C84" s="582">
        <f>SUM(C85:C88)</f>
        <v>0</v>
      </c>
    </row>
    <row r="85" spans="1:3" s="42" customFormat="1" ht="12" customHeight="1">
      <c r="A85" s="64" t="s">
        <v>322</v>
      </c>
      <c r="B85" s="44" t="s">
        <v>323</v>
      </c>
      <c r="C85" s="741"/>
    </row>
    <row r="86" spans="1:3" s="42" customFormat="1" ht="12" customHeight="1">
      <c r="A86" s="65" t="s">
        <v>324</v>
      </c>
      <c r="B86" s="47" t="s">
        <v>325</v>
      </c>
      <c r="C86" s="741"/>
    </row>
    <row r="87" spans="1:3" s="42" customFormat="1" ht="12" customHeight="1">
      <c r="A87" s="65" t="s">
        <v>326</v>
      </c>
      <c r="B87" s="47" t="s">
        <v>327</v>
      </c>
      <c r="C87" s="741"/>
    </row>
    <row r="88" spans="1:3" s="42" customFormat="1" ht="12" customHeight="1" thickBot="1">
      <c r="A88" s="66" t="s">
        <v>328</v>
      </c>
      <c r="B88" s="51" t="s">
        <v>329</v>
      </c>
      <c r="C88" s="741"/>
    </row>
    <row r="89" spans="1:3" s="42" customFormat="1" ht="12" customHeight="1" thickBot="1">
      <c r="A89" s="62" t="s">
        <v>330</v>
      </c>
      <c r="B89" s="52" t="s">
        <v>471</v>
      </c>
      <c r="C89" s="640"/>
    </row>
    <row r="90" spans="1:3" s="42" customFormat="1" ht="13.5" customHeight="1" thickBot="1">
      <c r="A90" s="62" t="s">
        <v>332</v>
      </c>
      <c r="B90" s="52" t="s">
        <v>331</v>
      </c>
      <c r="C90" s="640"/>
    </row>
    <row r="91" spans="1:3" s="42" customFormat="1" ht="15.75" customHeight="1" thickBot="1">
      <c r="A91" s="62" t="s">
        <v>344</v>
      </c>
      <c r="B91" s="68" t="s">
        <v>474</v>
      </c>
      <c r="C91" s="583">
        <f>+C68+C72+C77+C80+C84+C90+C89</f>
        <v>0</v>
      </c>
    </row>
    <row r="92" spans="1:3" s="42" customFormat="1" ht="16.5" customHeight="1" thickBot="1">
      <c r="A92" s="69" t="s">
        <v>473</v>
      </c>
      <c r="B92" s="70" t="s">
        <v>475</v>
      </c>
      <c r="C92" s="583">
        <f>+C67+C91</f>
        <v>125246829</v>
      </c>
    </row>
    <row r="93" spans="1:3" s="42" customFormat="1" ht="83.25" customHeight="1">
      <c r="A93" s="71"/>
      <c r="B93" s="72"/>
      <c r="C93" s="641"/>
    </row>
    <row r="94" spans="1:3" s="33" customFormat="1" ht="16.5" customHeight="1">
      <c r="A94" s="778" t="s">
        <v>42</v>
      </c>
      <c r="B94" s="778"/>
      <c r="C94" s="744"/>
    </row>
    <row r="95" spans="1:3" s="73" customFormat="1" ht="16.5" customHeight="1" thickBot="1">
      <c r="A95" s="780" t="s">
        <v>143</v>
      </c>
      <c r="B95" s="780"/>
      <c r="C95" s="642"/>
    </row>
    <row r="96" spans="1:3" s="33" customFormat="1" ht="38.1" customHeight="1" thickBot="1">
      <c r="A96" s="34" t="s">
        <v>64</v>
      </c>
      <c r="B96" s="35" t="s">
        <v>43</v>
      </c>
      <c r="C96" s="563" t="s">
        <v>692</v>
      </c>
    </row>
    <row r="97" spans="1:3" s="38" customFormat="1" ht="12" customHeight="1" thickBot="1">
      <c r="A97" s="74" t="s">
        <v>483</v>
      </c>
      <c r="B97" s="75" t="s">
        <v>484</v>
      </c>
      <c r="C97" s="643" t="s">
        <v>485</v>
      </c>
    </row>
    <row r="98" spans="1:3" s="33" customFormat="1" ht="12" customHeight="1" thickBot="1">
      <c r="A98" s="76" t="s">
        <v>14</v>
      </c>
      <c r="B98" s="77" t="s">
        <v>625</v>
      </c>
      <c r="C98" s="572">
        <f>C99+C100+C101+C102+C103+C116</f>
        <v>100723129</v>
      </c>
    </row>
    <row r="99" spans="1:3" s="33" customFormat="1" ht="12" customHeight="1">
      <c r="A99" s="79" t="s">
        <v>93</v>
      </c>
      <c r="B99" s="15" t="s">
        <v>44</v>
      </c>
      <c r="C99" s="573">
        <v>13754400</v>
      </c>
    </row>
    <row r="100" spans="1:3" s="33" customFormat="1" ht="12" customHeight="1">
      <c r="A100" s="46" t="s">
        <v>94</v>
      </c>
      <c r="B100" s="16" t="s">
        <v>172</v>
      </c>
      <c r="C100" s="574">
        <v>2831544</v>
      </c>
    </row>
    <row r="101" spans="1:3" s="33" customFormat="1" ht="12" customHeight="1">
      <c r="A101" s="46" t="s">
        <v>95</v>
      </c>
      <c r="B101" s="16" t="s">
        <v>131</v>
      </c>
      <c r="C101" s="575">
        <v>84137185</v>
      </c>
    </row>
    <row r="102" spans="1:3" s="33" customFormat="1" ht="12" customHeight="1">
      <c r="A102" s="46" t="s">
        <v>96</v>
      </c>
      <c r="B102" s="81" t="s">
        <v>173</v>
      </c>
      <c r="C102" s="575"/>
    </row>
    <row r="103" spans="1:3" s="33" customFormat="1" ht="12" customHeight="1">
      <c r="A103" s="46" t="s">
        <v>107</v>
      </c>
      <c r="B103" s="82" t="s">
        <v>174</v>
      </c>
      <c r="C103" s="575">
        <f>C104+C105+C106+C107+C108+C110+C111+C112+C113+C114+C115</f>
        <v>0</v>
      </c>
    </row>
    <row r="104" spans="1:3" s="33" customFormat="1" ht="12" customHeight="1">
      <c r="A104" s="46" t="s">
        <v>97</v>
      </c>
      <c r="B104" s="16" t="s">
        <v>438</v>
      </c>
      <c r="C104" s="575"/>
    </row>
    <row r="105" spans="1:3" s="33" customFormat="1" ht="12" customHeight="1">
      <c r="A105" s="46" t="s">
        <v>98</v>
      </c>
      <c r="B105" s="83" t="s">
        <v>437</v>
      </c>
      <c r="C105" s="575"/>
    </row>
    <row r="106" spans="1:3" s="33" customFormat="1" ht="12" customHeight="1">
      <c r="A106" s="46" t="s">
        <v>108</v>
      </c>
      <c r="B106" s="83" t="s">
        <v>436</v>
      </c>
      <c r="C106" s="575"/>
    </row>
    <row r="107" spans="1:3" s="33" customFormat="1" ht="12" customHeight="1">
      <c r="A107" s="46" t="s">
        <v>109</v>
      </c>
      <c r="B107" s="84" t="s">
        <v>347</v>
      </c>
      <c r="C107" s="575"/>
    </row>
    <row r="108" spans="1:3" s="33" customFormat="1" ht="12" customHeight="1">
      <c r="A108" s="46" t="s">
        <v>110</v>
      </c>
      <c r="B108" s="85" t="s">
        <v>348</v>
      </c>
      <c r="C108" s="575"/>
    </row>
    <row r="109" spans="1:3" s="33" customFormat="1" ht="12" customHeight="1">
      <c r="A109" s="46" t="s">
        <v>111</v>
      </c>
      <c r="B109" s="85" t="s">
        <v>349</v>
      </c>
      <c r="C109" s="575"/>
    </row>
    <row r="110" spans="1:3" s="33" customFormat="1" ht="12" customHeight="1">
      <c r="A110" s="46" t="s">
        <v>113</v>
      </c>
      <c r="B110" s="84" t="s">
        <v>350</v>
      </c>
      <c r="C110" s="575"/>
    </row>
    <row r="111" spans="1:3" s="33" customFormat="1" ht="12" customHeight="1">
      <c r="A111" s="46" t="s">
        <v>175</v>
      </c>
      <c r="B111" s="84" t="s">
        <v>351</v>
      </c>
      <c r="C111" s="575"/>
    </row>
    <row r="112" spans="1:3" s="33" customFormat="1" ht="12" customHeight="1">
      <c r="A112" s="46" t="s">
        <v>345</v>
      </c>
      <c r="B112" s="85" t="s">
        <v>352</v>
      </c>
      <c r="C112" s="575"/>
    </row>
    <row r="113" spans="1:3" s="33" customFormat="1" ht="12" customHeight="1">
      <c r="A113" s="86" t="s">
        <v>346</v>
      </c>
      <c r="B113" s="83" t="s">
        <v>353</v>
      </c>
      <c r="C113" s="575"/>
    </row>
    <row r="114" spans="1:3" s="33" customFormat="1" ht="12" customHeight="1">
      <c r="A114" s="46" t="s">
        <v>434</v>
      </c>
      <c r="B114" s="83" t="s">
        <v>354</v>
      </c>
      <c r="C114" s="575"/>
    </row>
    <row r="115" spans="1:3" s="33" customFormat="1" ht="12" customHeight="1">
      <c r="A115" s="50" t="s">
        <v>435</v>
      </c>
      <c r="B115" s="83" t="s">
        <v>355</v>
      </c>
      <c r="C115" s="575"/>
    </row>
    <row r="116" spans="1:3" s="33" customFormat="1" ht="12" customHeight="1">
      <c r="A116" s="46" t="s">
        <v>439</v>
      </c>
      <c r="B116" s="81" t="s">
        <v>45</v>
      </c>
      <c r="C116" s="574">
        <f>C117+C118</f>
        <v>0</v>
      </c>
    </row>
    <row r="117" spans="1:3" s="33" customFormat="1" ht="12" customHeight="1">
      <c r="A117" s="46" t="s">
        <v>440</v>
      </c>
      <c r="B117" s="16" t="s">
        <v>442</v>
      </c>
      <c r="C117" s="574"/>
    </row>
    <row r="118" spans="1:3" s="33" customFormat="1" ht="12" customHeight="1">
      <c r="A118" s="46" t="s">
        <v>441</v>
      </c>
      <c r="B118" s="116" t="s">
        <v>443</v>
      </c>
      <c r="C118" s="574"/>
    </row>
    <row r="119" spans="1:3" s="33" customFormat="1" ht="12" customHeight="1" thickBot="1">
      <c r="A119" s="90" t="s">
        <v>15</v>
      </c>
      <c r="B119" s="91" t="s">
        <v>626</v>
      </c>
      <c r="C119" s="578">
        <f>+C120+C122+C124</f>
        <v>24523700</v>
      </c>
    </row>
    <row r="120" spans="1:3" s="33" customFormat="1" ht="12" customHeight="1">
      <c r="A120" s="43" t="s">
        <v>99</v>
      </c>
      <c r="B120" s="16" t="s">
        <v>217</v>
      </c>
      <c r="C120" s="579">
        <v>18097500</v>
      </c>
    </row>
    <row r="121" spans="1:3" s="33" customFormat="1" ht="12" customHeight="1">
      <c r="A121" s="43" t="s">
        <v>100</v>
      </c>
      <c r="B121" s="92" t="s">
        <v>359</v>
      </c>
      <c r="C121" s="579"/>
    </row>
    <row r="122" spans="1:3" s="33" customFormat="1" ht="12" customHeight="1">
      <c r="A122" s="43" t="s">
        <v>101</v>
      </c>
      <c r="B122" s="92" t="s">
        <v>176</v>
      </c>
      <c r="C122" s="574">
        <v>6426200</v>
      </c>
    </row>
    <row r="123" spans="1:3" s="33" customFormat="1" ht="12" customHeight="1">
      <c r="A123" s="43" t="s">
        <v>102</v>
      </c>
      <c r="B123" s="92" t="s">
        <v>360</v>
      </c>
      <c r="C123" s="580"/>
    </row>
    <row r="124" spans="1:3" s="33" customFormat="1" ht="12" customHeight="1">
      <c r="A124" s="43" t="s">
        <v>103</v>
      </c>
      <c r="B124" s="51" t="s">
        <v>219</v>
      </c>
      <c r="C124" s="580">
        <f>C125+C126+C127+C128+C129+C130+C131+C132</f>
        <v>0</v>
      </c>
    </row>
    <row r="125" spans="1:3" s="33" customFormat="1" ht="12" customHeight="1">
      <c r="A125" s="43" t="s">
        <v>112</v>
      </c>
      <c r="B125" s="49" t="s">
        <v>422</v>
      </c>
      <c r="C125" s="580"/>
    </row>
    <row r="126" spans="1:3" s="33" customFormat="1" ht="12" customHeight="1">
      <c r="A126" s="43" t="s">
        <v>114</v>
      </c>
      <c r="B126" s="94" t="s">
        <v>365</v>
      </c>
      <c r="C126" s="580"/>
    </row>
    <row r="127" spans="1:3" s="33" customFormat="1" ht="15.75">
      <c r="A127" s="43" t="s">
        <v>177</v>
      </c>
      <c r="B127" s="85" t="s">
        <v>349</v>
      </c>
      <c r="C127" s="580"/>
    </row>
    <row r="128" spans="1:3" s="33" customFormat="1" ht="12" customHeight="1">
      <c r="A128" s="43" t="s">
        <v>178</v>
      </c>
      <c r="B128" s="85" t="s">
        <v>364</v>
      </c>
      <c r="C128" s="580"/>
    </row>
    <row r="129" spans="1:3" s="33" customFormat="1" ht="12" customHeight="1">
      <c r="A129" s="43" t="s">
        <v>179</v>
      </c>
      <c r="B129" s="85" t="s">
        <v>363</v>
      </c>
      <c r="C129" s="580"/>
    </row>
    <row r="130" spans="1:3" s="33" customFormat="1" ht="12" customHeight="1">
      <c r="A130" s="43" t="s">
        <v>356</v>
      </c>
      <c r="B130" s="85" t="s">
        <v>352</v>
      </c>
      <c r="C130" s="580"/>
    </row>
    <row r="131" spans="1:3" s="33" customFormat="1" ht="12" customHeight="1">
      <c r="A131" s="43" t="s">
        <v>357</v>
      </c>
      <c r="B131" s="85" t="s">
        <v>362</v>
      </c>
      <c r="C131" s="580"/>
    </row>
    <row r="132" spans="1:3" s="33" customFormat="1" ht="16.5" thickBot="1">
      <c r="A132" s="86" t="s">
        <v>358</v>
      </c>
      <c r="B132" s="85" t="s">
        <v>361</v>
      </c>
      <c r="C132" s="581"/>
    </row>
    <row r="133" spans="1:3" s="33" customFormat="1" ht="12" customHeight="1" thickBot="1">
      <c r="A133" s="39" t="s">
        <v>16</v>
      </c>
      <c r="B133" s="19" t="s">
        <v>444</v>
      </c>
      <c r="C133" s="582">
        <f>+C98+C119</f>
        <v>125246829</v>
      </c>
    </row>
    <row r="134" spans="1:3" s="33" customFormat="1" ht="12" customHeight="1" thickBot="1">
      <c r="A134" s="39" t="s">
        <v>17</v>
      </c>
      <c r="B134" s="19" t="s">
        <v>445</v>
      </c>
      <c r="C134" s="582">
        <f>+C135+C136+C137</f>
        <v>0</v>
      </c>
    </row>
    <row r="135" spans="1:3" s="33" customFormat="1" ht="12" customHeight="1">
      <c r="A135" s="43" t="s">
        <v>257</v>
      </c>
      <c r="B135" s="92" t="s">
        <v>452</v>
      </c>
      <c r="C135" s="580"/>
    </row>
    <row r="136" spans="1:3" s="33" customFormat="1" ht="12" customHeight="1">
      <c r="A136" s="43" t="s">
        <v>260</v>
      </c>
      <c r="B136" s="92" t="s">
        <v>453</v>
      </c>
      <c r="C136" s="580"/>
    </row>
    <row r="137" spans="1:3" s="33" customFormat="1" ht="12" customHeight="1" thickBot="1">
      <c r="A137" s="86" t="s">
        <v>261</v>
      </c>
      <c r="B137" s="92" t="s">
        <v>454</v>
      </c>
      <c r="C137" s="580"/>
    </row>
    <row r="138" spans="1:3" s="33" customFormat="1" ht="12" customHeight="1" thickBot="1">
      <c r="A138" s="39" t="s">
        <v>18</v>
      </c>
      <c r="B138" s="19" t="s">
        <v>446</v>
      </c>
      <c r="C138" s="582">
        <f>SUM(C139:C144)</f>
        <v>0</v>
      </c>
    </row>
    <row r="139" spans="1:3" s="33" customFormat="1" ht="12" customHeight="1">
      <c r="A139" s="43" t="s">
        <v>86</v>
      </c>
      <c r="B139" s="18" t="s">
        <v>455</v>
      </c>
      <c r="C139" s="580"/>
    </row>
    <row r="140" spans="1:3" s="33" customFormat="1" ht="12" customHeight="1">
      <c r="A140" s="43" t="s">
        <v>87</v>
      </c>
      <c r="B140" s="18" t="s">
        <v>447</v>
      </c>
      <c r="C140" s="580"/>
    </row>
    <row r="141" spans="1:3" s="33" customFormat="1" ht="12" customHeight="1">
      <c r="A141" s="43" t="s">
        <v>88</v>
      </c>
      <c r="B141" s="18" t="s">
        <v>448</v>
      </c>
      <c r="C141" s="580"/>
    </row>
    <row r="142" spans="1:3" s="33" customFormat="1" ht="12" customHeight="1">
      <c r="A142" s="43" t="s">
        <v>164</v>
      </c>
      <c r="B142" s="18" t="s">
        <v>449</v>
      </c>
      <c r="C142" s="580"/>
    </row>
    <row r="143" spans="1:3" s="33" customFormat="1" ht="12" customHeight="1">
      <c r="A143" s="43" t="s">
        <v>165</v>
      </c>
      <c r="B143" s="18" t="s">
        <v>450</v>
      </c>
      <c r="C143" s="580"/>
    </row>
    <row r="144" spans="1:3" s="33" customFormat="1" ht="12" customHeight="1" thickBot="1">
      <c r="A144" s="86" t="s">
        <v>166</v>
      </c>
      <c r="B144" s="18" t="s">
        <v>451</v>
      </c>
      <c r="C144" s="580"/>
    </row>
    <row r="145" spans="1:3" s="33" customFormat="1" ht="12" customHeight="1" thickBot="1">
      <c r="A145" s="39" t="s">
        <v>19</v>
      </c>
      <c r="B145" s="19" t="s">
        <v>459</v>
      </c>
      <c r="C145" s="583">
        <f>+C146+C147+C148+C149</f>
        <v>0</v>
      </c>
    </row>
    <row r="146" spans="1:3" s="33" customFormat="1" ht="12" customHeight="1">
      <c r="A146" s="43" t="s">
        <v>89</v>
      </c>
      <c r="B146" s="18" t="s">
        <v>366</v>
      </c>
      <c r="C146" s="580"/>
    </row>
    <row r="147" spans="1:3" s="33" customFormat="1" ht="12" customHeight="1">
      <c r="A147" s="43" t="s">
        <v>90</v>
      </c>
      <c r="B147" s="18" t="s">
        <v>367</v>
      </c>
      <c r="C147" s="580"/>
    </row>
    <row r="148" spans="1:3" s="33" customFormat="1" ht="12" customHeight="1">
      <c r="A148" s="43" t="s">
        <v>281</v>
      </c>
      <c r="B148" s="18" t="s">
        <v>460</v>
      </c>
      <c r="C148" s="580"/>
    </row>
    <row r="149" spans="1:3" s="33" customFormat="1" ht="12" customHeight="1" thickBot="1">
      <c r="A149" s="86" t="s">
        <v>282</v>
      </c>
      <c r="B149" s="17" t="s">
        <v>386</v>
      </c>
      <c r="C149" s="580"/>
    </row>
    <row r="150" spans="1:3" s="33" customFormat="1" ht="12" customHeight="1" thickBot="1">
      <c r="A150" s="39" t="s">
        <v>20</v>
      </c>
      <c r="B150" s="19" t="s">
        <v>461</v>
      </c>
      <c r="C150" s="584">
        <f>SUM(C151:C155)</f>
        <v>0</v>
      </c>
    </row>
    <row r="151" spans="1:3" s="33" customFormat="1" ht="12" customHeight="1">
      <c r="A151" s="43" t="s">
        <v>91</v>
      </c>
      <c r="B151" s="18" t="s">
        <v>456</v>
      </c>
      <c r="C151" s="580"/>
    </row>
    <row r="152" spans="1:3" s="33" customFormat="1" ht="12" customHeight="1">
      <c r="A152" s="43" t="s">
        <v>92</v>
      </c>
      <c r="B152" s="18" t="s">
        <v>463</v>
      </c>
      <c r="C152" s="580"/>
    </row>
    <row r="153" spans="1:3" s="33" customFormat="1" ht="12" customHeight="1">
      <c r="A153" s="43" t="s">
        <v>293</v>
      </c>
      <c r="B153" s="18" t="s">
        <v>458</v>
      </c>
      <c r="C153" s="580"/>
    </row>
    <row r="154" spans="1:3" s="33" customFormat="1" ht="12" customHeight="1">
      <c r="A154" s="43" t="s">
        <v>294</v>
      </c>
      <c r="B154" s="18" t="s">
        <v>464</v>
      </c>
      <c r="C154" s="580"/>
    </row>
    <row r="155" spans="1:3" s="33" customFormat="1" ht="12" customHeight="1" thickBot="1">
      <c r="A155" s="43" t="s">
        <v>462</v>
      </c>
      <c r="B155" s="18" t="s">
        <v>465</v>
      </c>
      <c r="C155" s="580"/>
    </row>
    <row r="156" spans="1:3" s="33" customFormat="1" ht="12" customHeight="1" thickBot="1">
      <c r="A156" s="39" t="s">
        <v>21</v>
      </c>
      <c r="B156" s="19" t="s">
        <v>466</v>
      </c>
      <c r="C156" s="585"/>
    </row>
    <row r="157" spans="1:3" s="33" customFormat="1" ht="12" customHeight="1" thickBot="1">
      <c r="A157" s="39" t="s">
        <v>22</v>
      </c>
      <c r="B157" s="19" t="s">
        <v>467</v>
      </c>
      <c r="C157" s="585"/>
    </row>
    <row r="158" spans="1:3" s="33" customFormat="1" ht="15" customHeight="1" thickBot="1">
      <c r="A158" s="39" t="s">
        <v>23</v>
      </c>
      <c r="B158" s="19" t="s">
        <v>469</v>
      </c>
      <c r="C158" s="586">
        <f>+C134+C138+C145+C150+C156+C157</f>
        <v>0</v>
      </c>
    </row>
    <row r="159" spans="1:3" s="42" customFormat="1" ht="12.95" customHeight="1" thickBot="1">
      <c r="A159" s="99" t="s">
        <v>24</v>
      </c>
      <c r="B159" s="100" t="s">
        <v>468</v>
      </c>
      <c r="C159" s="586">
        <f>+C133+C158</f>
        <v>125246829</v>
      </c>
    </row>
  </sheetData>
  <mergeCells count="4">
    <mergeCell ref="A6:B6"/>
    <mergeCell ref="A7:B7"/>
    <mergeCell ref="A94:B94"/>
    <mergeCell ref="A95:B95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9" fitToHeight="2" orientation="portrait" r:id="rId1"/>
  <headerFooter alignWithMargins="0">
    <oddHeader>&amp;R&amp;"Times New Roman CE,Félkövér dőlt"&amp;11 1.1. melléklet a 3/2019. (II.28.) önkormányzati rendelethez</oddHeader>
    <oddFooter>&amp;P. oldal, összesen: &amp;N</oddFooter>
  </headerFooter>
  <rowBreaks count="3" manualBreakCount="3">
    <brk id="67" max="2" man="1"/>
    <brk id="92" max="8" man="1"/>
    <brk id="133" max="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30">
    <tabColor rgb="FFFFFF00"/>
  </sheetPr>
  <dimension ref="A1:D31"/>
  <sheetViews>
    <sheetView zoomScaleNormal="100" workbookViewId="0">
      <selection activeCell="B7" sqref="B7"/>
    </sheetView>
  </sheetViews>
  <sheetFormatPr defaultRowHeight="12.75"/>
  <cols>
    <col min="1" max="1" width="5.83203125" style="359" customWidth="1"/>
    <col min="2" max="2" width="54.83203125" style="109" customWidth="1"/>
    <col min="3" max="4" width="17.6640625" style="109" customWidth="1"/>
    <col min="5" max="16384" width="9.33203125" style="109"/>
  </cols>
  <sheetData>
    <row r="1" spans="1:4" ht="31.5" customHeight="1">
      <c r="B1" s="836" t="s">
        <v>5</v>
      </c>
      <c r="C1" s="836"/>
      <c r="D1" s="836"/>
    </row>
    <row r="2" spans="1:4" s="362" customFormat="1" ht="16.5" thickBot="1">
      <c r="A2" s="361"/>
      <c r="B2" s="360"/>
      <c r="D2" s="363" t="s">
        <v>581</v>
      </c>
    </row>
    <row r="3" spans="1:4" s="367" customFormat="1" ht="48" customHeight="1" thickBot="1">
      <c r="A3" s="364" t="s">
        <v>12</v>
      </c>
      <c r="B3" s="365" t="s">
        <v>13</v>
      </c>
      <c r="C3" s="365" t="s">
        <v>66</v>
      </c>
      <c r="D3" s="366" t="s">
        <v>67</v>
      </c>
    </row>
    <row r="4" spans="1:4" s="367" customFormat="1" ht="14.1" customHeight="1" thickBot="1">
      <c r="A4" s="368" t="s">
        <v>483</v>
      </c>
      <c r="B4" s="11" t="s">
        <v>484</v>
      </c>
      <c r="C4" s="11" t="s">
        <v>485</v>
      </c>
      <c r="D4" s="12" t="s">
        <v>487</v>
      </c>
    </row>
    <row r="5" spans="1:4" ht="18" customHeight="1">
      <c r="A5" s="369" t="s">
        <v>14</v>
      </c>
      <c r="B5" s="370" t="s">
        <v>156</v>
      </c>
      <c r="C5" s="371"/>
      <c r="D5" s="20"/>
    </row>
    <row r="6" spans="1:4" ht="18" customHeight="1">
      <c r="A6" s="372" t="s">
        <v>15</v>
      </c>
      <c r="B6" s="373" t="s">
        <v>157</v>
      </c>
      <c r="C6" s="374"/>
      <c r="D6" s="27"/>
    </row>
    <row r="7" spans="1:4" ht="18" customHeight="1">
      <c r="A7" s="372" t="s">
        <v>16</v>
      </c>
      <c r="B7" s="373" t="s">
        <v>115</v>
      </c>
      <c r="C7" s="374"/>
      <c r="D7" s="27"/>
    </row>
    <row r="8" spans="1:4" ht="18" customHeight="1">
      <c r="A8" s="372" t="s">
        <v>17</v>
      </c>
      <c r="B8" s="373" t="s">
        <v>116</v>
      </c>
      <c r="C8" s="374"/>
      <c r="D8" s="27"/>
    </row>
    <row r="9" spans="1:4" ht="18" customHeight="1">
      <c r="A9" s="372" t="s">
        <v>18</v>
      </c>
      <c r="B9" s="373" t="s">
        <v>149</v>
      </c>
      <c r="C9" s="374"/>
      <c r="D9" s="27"/>
    </row>
    <row r="10" spans="1:4" ht="18" customHeight="1">
      <c r="A10" s="372" t="s">
        <v>19</v>
      </c>
      <c r="B10" s="373" t="s">
        <v>150</v>
      </c>
      <c r="C10" s="374"/>
      <c r="D10" s="27"/>
    </row>
    <row r="11" spans="1:4" ht="18" customHeight="1">
      <c r="A11" s="372" t="s">
        <v>20</v>
      </c>
      <c r="B11" s="375" t="s">
        <v>151</v>
      </c>
      <c r="C11" s="374"/>
      <c r="D11" s="27"/>
    </row>
    <row r="12" spans="1:4" ht="18" customHeight="1">
      <c r="A12" s="372" t="s">
        <v>22</v>
      </c>
      <c r="B12" s="375" t="s">
        <v>152</v>
      </c>
      <c r="C12" s="374"/>
      <c r="D12" s="27"/>
    </row>
    <row r="13" spans="1:4" ht="18" customHeight="1">
      <c r="A13" s="372" t="s">
        <v>23</v>
      </c>
      <c r="B13" s="375" t="s">
        <v>153</v>
      </c>
      <c r="C13" s="374"/>
      <c r="D13" s="27"/>
    </row>
    <row r="14" spans="1:4" ht="18" customHeight="1">
      <c r="A14" s="372" t="s">
        <v>24</v>
      </c>
      <c r="B14" s="375" t="s">
        <v>154</v>
      </c>
      <c r="C14" s="374"/>
      <c r="D14" s="27"/>
    </row>
    <row r="15" spans="1:4" ht="22.5" customHeight="1">
      <c r="A15" s="372" t="s">
        <v>25</v>
      </c>
      <c r="B15" s="375" t="s">
        <v>155</v>
      </c>
      <c r="C15" s="374"/>
      <c r="D15" s="27"/>
    </row>
    <row r="16" spans="1:4" ht="18" customHeight="1">
      <c r="A16" s="372" t="s">
        <v>26</v>
      </c>
      <c r="B16" s="373" t="s">
        <v>117</v>
      </c>
      <c r="C16" s="374"/>
      <c r="D16" s="27"/>
    </row>
    <row r="17" spans="1:4" ht="18" customHeight="1">
      <c r="A17" s="372" t="s">
        <v>27</v>
      </c>
      <c r="B17" s="373" t="s">
        <v>7</v>
      </c>
      <c r="C17" s="374"/>
      <c r="D17" s="27"/>
    </row>
    <row r="18" spans="1:4" ht="18" customHeight="1">
      <c r="A18" s="372" t="s">
        <v>28</v>
      </c>
      <c r="B18" s="373" t="s">
        <v>6</v>
      </c>
      <c r="C18" s="374"/>
      <c r="D18" s="27"/>
    </row>
    <row r="19" spans="1:4" ht="18" customHeight="1">
      <c r="A19" s="372" t="s">
        <v>29</v>
      </c>
      <c r="B19" s="373" t="s">
        <v>118</v>
      </c>
      <c r="C19" s="374"/>
      <c r="D19" s="27"/>
    </row>
    <row r="20" spans="1:4" ht="18" customHeight="1">
      <c r="A20" s="372" t="s">
        <v>30</v>
      </c>
      <c r="B20" s="373" t="s">
        <v>119</v>
      </c>
      <c r="C20" s="374"/>
      <c r="D20" s="27"/>
    </row>
    <row r="21" spans="1:4" ht="18" customHeight="1">
      <c r="A21" s="372" t="s">
        <v>31</v>
      </c>
      <c r="B21" s="376"/>
      <c r="C21" s="174"/>
      <c r="D21" s="27"/>
    </row>
    <row r="22" spans="1:4" ht="18" customHeight="1">
      <c r="A22" s="372" t="s">
        <v>32</v>
      </c>
      <c r="B22" s="377"/>
      <c r="C22" s="174"/>
      <c r="D22" s="27"/>
    </row>
    <row r="23" spans="1:4" ht="18" customHeight="1">
      <c r="A23" s="372" t="s">
        <v>33</v>
      </c>
      <c r="B23" s="377"/>
      <c r="C23" s="174"/>
      <c r="D23" s="27"/>
    </row>
    <row r="24" spans="1:4" ht="18" customHeight="1">
      <c r="A24" s="372" t="s">
        <v>34</v>
      </c>
      <c r="B24" s="377"/>
      <c r="C24" s="174"/>
      <c r="D24" s="27"/>
    </row>
    <row r="25" spans="1:4" ht="18" customHeight="1">
      <c r="A25" s="372" t="s">
        <v>35</v>
      </c>
      <c r="B25" s="377"/>
      <c r="C25" s="174"/>
      <c r="D25" s="27"/>
    </row>
    <row r="26" spans="1:4" ht="18" customHeight="1">
      <c r="A26" s="372" t="s">
        <v>36</v>
      </c>
      <c r="B26" s="377"/>
      <c r="C26" s="174"/>
      <c r="D26" s="27"/>
    </row>
    <row r="27" spans="1:4" ht="18" customHeight="1">
      <c r="A27" s="372" t="s">
        <v>37</v>
      </c>
      <c r="B27" s="377"/>
      <c r="C27" s="174"/>
      <c r="D27" s="27"/>
    </row>
    <row r="28" spans="1:4" ht="18" customHeight="1">
      <c r="A28" s="372" t="s">
        <v>38</v>
      </c>
      <c r="B28" s="377"/>
      <c r="C28" s="174"/>
      <c r="D28" s="27"/>
    </row>
    <row r="29" spans="1:4" ht="18" customHeight="1" thickBot="1">
      <c r="A29" s="378" t="s">
        <v>39</v>
      </c>
      <c r="B29" s="379"/>
      <c r="C29" s="380"/>
      <c r="D29" s="21"/>
    </row>
    <row r="30" spans="1:4" ht="18" customHeight="1" thickBot="1">
      <c r="A30" s="381" t="s">
        <v>40</v>
      </c>
      <c r="B30" s="382" t="s">
        <v>48</v>
      </c>
      <c r="C30" s="383">
        <f>+C5+C6+C7+C8+C9+C16+C17+C18+C19+C20+C21+C22+C23+C24+C25+C26+C27+C28+C29</f>
        <v>0</v>
      </c>
      <c r="D30" s="384">
        <f>+D5+D6+D7+D8+D9+D16+D17+D18+D19+D20+D21+D22+D23+D24+D25+D26+D27+D28+D29</f>
        <v>0</v>
      </c>
    </row>
    <row r="31" spans="1:4" ht="8.25" customHeight="1">
      <c r="A31" s="385"/>
      <c r="B31" s="835"/>
      <c r="C31" s="835"/>
      <c r="D31" s="835"/>
    </row>
  </sheetData>
  <mergeCells count="2">
    <mergeCell ref="B31:D31"/>
    <mergeCell ref="B1:D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9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1">
    <tabColor rgb="FFFFFF00"/>
  </sheetPr>
  <dimension ref="A1:O37"/>
  <sheetViews>
    <sheetView topLeftCell="A22" zoomScaleNormal="100" workbookViewId="0">
      <selection activeCell="E29" sqref="E29"/>
    </sheetView>
  </sheetViews>
  <sheetFormatPr defaultRowHeight="15.75"/>
  <cols>
    <col min="1" max="1" width="6.6640625" style="419" bestFit="1" customWidth="1"/>
    <col min="2" max="2" width="66.1640625" style="420" bestFit="1" customWidth="1"/>
    <col min="3" max="3" width="16.33203125" style="420" bestFit="1" customWidth="1"/>
    <col min="4" max="4" width="15.6640625" style="420" bestFit="1" customWidth="1"/>
    <col min="5" max="5" width="16.33203125" style="420" bestFit="1" customWidth="1"/>
    <col min="6" max="6" width="15.6640625" style="420" bestFit="1" customWidth="1"/>
    <col min="7" max="9" width="16.33203125" style="420" bestFit="1" customWidth="1"/>
    <col min="10" max="10" width="16" style="420" bestFit="1" customWidth="1"/>
    <col min="11" max="11" width="14.6640625" style="420" bestFit="1" customWidth="1"/>
    <col min="12" max="14" width="15.6640625" style="420" bestFit="1" customWidth="1"/>
    <col min="15" max="15" width="18.1640625" style="421" bestFit="1" customWidth="1"/>
    <col min="16" max="16384" width="9.33203125" style="420"/>
  </cols>
  <sheetData>
    <row r="1" spans="1:15">
      <c r="B1" s="420" t="s">
        <v>536</v>
      </c>
      <c r="L1" s="845" t="s">
        <v>661</v>
      </c>
      <c r="M1" s="845"/>
      <c r="N1" s="845"/>
    </row>
    <row r="4" spans="1:15" ht="20.25" customHeight="1">
      <c r="A4" s="837" t="s">
        <v>689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</row>
    <row r="5" spans="1:15" ht="21" customHeight="1">
      <c r="A5" s="837" t="s">
        <v>690</v>
      </c>
      <c r="B5" s="837"/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  <c r="O5" s="837"/>
    </row>
    <row r="6" spans="1:15" ht="21" customHeight="1">
      <c r="A6" s="534"/>
      <c r="B6" s="534"/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4"/>
      <c r="O6" s="534"/>
    </row>
    <row r="7" spans="1:15" ht="16.5" thickBot="1">
      <c r="O7" s="535" t="s">
        <v>581</v>
      </c>
    </row>
    <row r="8" spans="1:15" s="419" customFormat="1" ht="31.5" customHeight="1" thickBot="1">
      <c r="A8" s="536" t="s">
        <v>12</v>
      </c>
      <c r="B8" s="537" t="s">
        <v>56</v>
      </c>
      <c r="C8" s="537" t="s">
        <v>68</v>
      </c>
      <c r="D8" s="537" t="s">
        <v>69</v>
      </c>
      <c r="E8" s="537" t="s">
        <v>70</v>
      </c>
      <c r="F8" s="537" t="s">
        <v>71</v>
      </c>
      <c r="G8" s="537" t="s">
        <v>72</v>
      </c>
      <c r="H8" s="537" t="s">
        <v>73</v>
      </c>
      <c r="I8" s="537" t="s">
        <v>74</v>
      </c>
      <c r="J8" s="537" t="s">
        <v>75</v>
      </c>
      <c r="K8" s="537" t="s">
        <v>76</v>
      </c>
      <c r="L8" s="537" t="s">
        <v>77</v>
      </c>
      <c r="M8" s="537" t="s">
        <v>78</v>
      </c>
      <c r="N8" s="537" t="s">
        <v>79</v>
      </c>
      <c r="O8" s="538" t="s">
        <v>46</v>
      </c>
    </row>
    <row r="9" spans="1:15" s="540" customFormat="1" ht="15" customHeight="1" thickBot="1">
      <c r="A9" s="539"/>
      <c r="B9" s="839" t="s">
        <v>51</v>
      </c>
      <c r="C9" s="840"/>
      <c r="D9" s="840"/>
      <c r="E9" s="840"/>
      <c r="F9" s="840"/>
      <c r="G9" s="840"/>
      <c r="H9" s="840"/>
      <c r="I9" s="840"/>
      <c r="J9" s="840"/>
      <c r="K9" s="840"/>
      <c r="L9" s="840"/>
      <c r="M9" s="840"/>
      <c r="N9" s="840"/>
      <c r="O9" s="841"/>
    </row>
    <row r="10" spans="1:15" s="545" customFormat="1" ht="22.5" customHeight="1">
      <c r="A10" s="541" t="s">
        <v>14</v>
      </c>
      <c r="B10" s="542" t="s">
        <v>369</v>
      </c>
      <c r="C10" s="543">
        <f>223966276/12</f>
        <v>18663856.333333332</v>
      </c>
      <c r="D10" s="543">
        <f t="shared" ref="D10:N10" si="0">223966276/12</f>
        <v>18663856.333333332</v>
      </c>
      <c r="E10" s="543">
        <f t="shared" si="0"/>
        <v>18663856.333333332</v>
      </c>
      <c r="F10" s="543">
        <f t="shared" si="0"/>
        <v>18663856.333333332</v>
      </c>
      <c r="G10" s="543">
        <f t="shared" si="0"/>
        <v>18663856.333333332</v>
      </c>
      <c r="H10" s="543">
        <f t="shared" si="0"/>
        <v>18663856.333333332</v>
      </c>
      <c r="I10" s="543">
        <f t="shared" si="0"/>
        <v>18663856.333333332</v>
      </c>
      <c r="J10" s="543">
        <f t="shared" si="0"/>
        <v>18663856.333333332</v>
      </c>
      <c r="K10" s="543">
        <f t="shared" si="0"/>
        <v>18663856.333333332</v>
      </c>
      <c r="L10" s="543">
        <f t="shared" si="0"/>
        <v>18663856.333333332</v>
      </c>
      <c r="M10" s="543">
        <f t="shared" si="0"/>
        <v>18663856.333333332</v>
      </c>
      <c r="N10" s="543">
        <f t="shared" si="0"/>
        <v>18663856.333333332</v>
      </c>
      <c r="O10" s="544">
        <f t="shared" ref="O10:O19" si="1">SUM(C10:N10)</f>
        <v>223966276.00000003</v>
      </c>
    </row>
    <row r="11" spans="1:15" s="545" customFormat="1" ht="22.5" customHeight="1">
      <c r="A11" s="541" t="s">
        <v>15</v>
      </c>
      <c r="B11" s="542" t="s">
        <v>591</v>
      </c>
      <c r="C11" s="543">
        <f>89479+505300+227619-2</f>
        <v>822396</v>
      </c>
      <c r="D11" s="543">
        <f>89479+505300+306000</f>
        <v>900779</v>
      </c>
      <c r="E11" s="543">
        <f>4269996+38640+150535+505300</f>
        <v>4964471</v>
      </c>
      <c r="F11" s="543">
        <f>4269996+38640+150535+505300</f>
        <v>4964471</v>
      </c>
      <c r="G11" s="543">
        <f>4269996+38640+150535+505300</f>
        <v>4964471</v>
      </c>
      <c r="H11" s="543">
        <f>4269996+38640+505300</f>
        <v>4813936</v>
      </c>
      <c r="I11" s="543">
        <f>4269996+38640+505300</f>
        <v>4813936</v>
      </c>
      <c r="J11" s="543">
        <f>4269996+38640+505300+23000000</f>
        <v>27813936</v>
      </c>
      <c r="K11" s="543">
        <f>4269996+38640+505300+1639729+112502</f>
        <v>6566167</v>
      </c>
      <c r="L11" s="543">
        <f>4269996+38640+505300</f>
        <v>4813936</v>
      </c>
      <c r="M11" s="543">
        <f>4269996+38640+505300</f>
        <v>4813936</v>
      </c>
      <c r="N11" s="543">
        <f>4269996+38640+505300</f>
        <v>4813936</v>
      </c>
      <c r="O11" s="544">
        <f t="shared" si="1"/>
        <v>75066371</v>
      </c>
    </row>
    <row r="12" spans="1:15" s="545" customFormat="1" ht="22.5" customHeight="1">
      <c r="A12" s="541" t="s">
        <v>16</v>
      </c>
      <c r="B12" s="542" t="s">
        <v>590</v>
      </c>
      <c r="C12" s="543"/>
      <c r="D12" s="543"/>
      <c r="E12" s="543"/>
      <c r="F12" s="543"/>
      <c r="G12" s="543"/>
      <c r="H12" s="543"/>
      <c r="I12" s="543"/>
      <c r="J12" s="543"/>
      <c r="K12" s="543">
        <f>39844721</f>
        <v>39844721</v>
      </c>
      <c r="L12" s="543"/>
      <c r="M12" s="543"/>
      <c r="N12" s="543"/>
      <c r="O12" s="544">
        <f t="shared" si="1"/>
        <v>39844721</v>
      </c>
    </row>
    <row r="13" spans="1:15" s="545" customFormat="1" ht="22.5" customHeight="1">
      <c r="A13" s="541" t="s">
        <v>17</v>
      </c>
      <c r="B13" s="542" t="s">
        <v>163</v>
      </c>
      <c r="C13" s="543">
        <f>136700000/12</f>
        <v>11391666.666666666</v>
      </c>
      <c r="D13" s="543">
        <f t="shared" ref="D13:N13" si="2">136700000/12</f>
        <v>11391666.666666666</v>
      </c>
      <c r="E13" s="543">
        <f t="shared" si="2"/>
        <v>11391666.666666666</v>
      </c>
      <c r="F13" s="543">
        <f t="shared" si="2"/>
        <v>11391666.666666666</v>
      </c>
      <c r="G13" s="543">
        <f t="shared" si="2"/>
        <v>11391666.666666666</v>
      </c>
      <c r="H13" s="543">
        <f t="shared" si="2"/>
        <v>11391666.666666666</v>
      </c>
      <c r="I13" s="543">
        <f t="shared" si="2"/>
        <v>11391666.666666666</v>
      </c>
      <c r="J13" s="543">
        <f t="shared" si="2"/>
        <v>11391666.666666666</v>
      </c>
      <c r="K13" s="543">
        <f t="shared" si="2"/>
        <v>11391666.666666666</v>
      </c>
      <c r="L13" s="543">
        <f t="shared" si="2"/>
        <v>11391666.666666666</v>
      </c>
      <c r="M13" s="543">
        <f t="shared" si="2"/>
        <v>11391666.666666666</v>
      </c>
      <c r="N13" s="543">
        <f t="shared" si="2"/>
        <v>11391666.666666666</v>
      </c>
      <c r="O13" s="544">
        <f t="shared" si="1"/>
        <v>136700000.00000003</v>
      </c>
    </row>
    <row r="14" spans="1:15" s="545" customFormat="1" ht="22.5" customHeight="1">
      <c r="A14" s="541" t="s">
        <v>18</v>
      </c>
      <c r="B14" s="542" t="s">
        <v>415</v>
      </c>
      <c r="C14" s="543">
        <f>125000+15875+21167+444500+174625+1000</f>
        <v>782167</v>
      </c>
      <c r="D14" s="543">
        <f>125000+15875+21167+174625+1000</f>
        <v>337667</v>
      </c>
      <c r="E14" s="543">
        <f>125000+250+15875+21167+174625+1000</f>
        <v>337917</v>
      </c>
      <c r="F14" s="543">
        <f>125000+2928874+6400+15875+21167+174625+1000</f>
        <v>3272941</v>
      </c>
      <c r="G14" s="543">
        <f>125000+15875+21167+174625+1000</f>
        <v>337667</v>
      </c>
      <c r="H14" s="543">
        <f>125000+250+470000+15875+21167+174625+1000+7601204+3829304+404897</f>
        <v>12643322</v>
      </c>
      <c r="I14" s="543">
        <f>125000+15875+21167+49530000+174625+1000</f>
        <v>49867667</v>
      </c>
      <c r="J14" s="543">
        <f>125000+15875+21167+49530000+11864429+174625+1000</f>
        <v>61732096</v>
      </c>
      <c r="K14" s="543">
        <f>125000+250+15875+21167+174625+1000</f>
        <v>337917</v>
      </c>
      <c r="L14" s="543">
        <f>125000+15875+21167+174625+1000</f>
        <v>337667</v>
      </c>
      <c r="M14" s="543">
        <f>125000+15875+21167+174625</f>
        <v>336667</v>
      </c>
      <c r="N14" s="543">
        <f>125000+250+15875+21167+174625</f>
        <v>336917</v>
      </c>
      <c r="O14" s="544">
        <f t="shared" si="1"/>
        <v>130660612</v>
      </c>
    </row>
    <row r="15" spans="1:15" s="545" customFormat="1" ht="22.5" customHeight="1">
      <c r="A15" s="541" t="s">
        <v>19</v>
      </c>
      <c r="B15" s="542" t="s">
        <v>8</v>
      </c>
      <c r="C15" s="543">
        <f>10000</f>
        <v>10000</v>
      </c>
      <c r="D15" s="543">
        <f>10000</f>
        <v>10000</v>
      </c>
      <c r="E15" s="543">
        <f>10000</f>
        <v>10000</v>
      </c>
      <c r="F15" s="543">
        <f>10000</f>
        <v>10000</v>
      </c>
      <c r="G15" s="543">
        <f>10000</f>
        <v>10000</v>
      </c>
      <c r="H15" s="543">
        <f>10000+7000000</f>
        <v>7010000</v>
      </c>
      <c r="I15" s="543">
        <f>10000</f>
        <v>10000</v>
      </c>
      <c r="J15" s="543">
        <f>10000</f>
        <v>10000</v>
      </c>
      <c r="K15" s="543">
        <f>10000</f>
        <v>10000</v>
      </c>
      <c r="L15" s="543">
        <f>10000</f>
        <v>10000</v>
      </c>
      <c r="M15" s="543"/>
      <c r="N15" s="543"/>
      <c r="O15" s="544">
        <f t="shared" si="1"/>
        <v>7100000</v>
      </c>
    </row>
    <row r="16" spans="1:15" s="545" customFormat="1" ht="22.5" customHeight="1">
      <c r="A16" s="541" t="s">
        <v>20</v>
      </c>
      <c r="B16" s="542" t="s">
        <v>371</v>
      </c>
      <c r="C16" s="543"/>
      <c r="D16" s="543">
        <v>505503</v>
      </c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4">
        <f t="shared" si="1"/>
        <v>505503</v>
      </c>
    </row>
    <row r="17" spans="1:15" s="545" customFormat="1" ht="22.5" customHeight="1">
      <c r="A17" s="541" t="s">
        <v>21</v>
      </c>
      <c r="B17" s="542" t="s">
        <v>403</v>
      </c>
      <c r="C17" s="543"/>
      <c r="D17" s="543"/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4">
        <f t="shared" si="1"/>
        <v>0</v>
      </c>
    </row>
    <row r="18" spans="1:15" s="545" customFormat="1" ht="22.5" customHeight="1" thickBot="1">
      <c r="A18" s="541" t="s">
        <v>22</v>
      </c>
      <c r="B18" s="542" t="s">
        <v>9</v>
      </c>
      <c r="C18" s="543">
        <v>541000000</v>
      </c>
      <c r="D18" s="543"/>
      <c r="E18" s="543"/>
      <c r="F18" s="543"/>
      <c r="G18" s="543"/>
      <c r="H18" s="543"/>
      <c r="I18" s="543"/>
      <c r="J18" s="543"/>
      <c r="K18" s="543"/>
      <c r="L18" s="543"/>
      <c r="M18" s="543"/>
      <c r="N18" s="543"/>
      <c r="O18" s="544">
        <f t="shared" si="1"/>
        <v>541000000</v>
      </c>
    </row>
    <row r="19" spans="1:15" s="550" customFormat="1" ht="15.95" customHeight="1" thickBot="1">
      <c r="A19" s="546"/>
      <c r="B19" s="547" t="s">
        <v>104</v>
      </c>
      <c r="C19" s="548">
        <f t="shared" ref="C19:N19" si="3">SUM(C10:C18)</f>
        <v>572670086</v>
      </c>
      <c r="D19" s="548">
        <f t="shared" si="3"/>
        <v>31809472</v>
      </c>
      <c r="E19" s="548">
        <f t="shared" si="3"/>
        <v>35367911</v>
      </c>
      <c r="F19" s="548">
        <f t="shared" si="3"/>
        <v>38302935</v>
      </c>
      <c r="G19" s="548">
        <f t="shared" si="3"/>
        <v>35367661</v>
      </c>
      <c r="H19" s="548">
        <f t="shared" si="3"/>
        <v>54522781</v>
      </c>
      <c r="I19" s="548">
        <f t="shared" si="3"/>
        <v>84747126</v>
      </c>
      <c r="J19" s="548">
        <f t="shared" si="3"/>
        <v>119611555</v>
      </c>
      <c r="K19" s="548">
        <f t="shared" si="3"/>
        <v>76814328</v>
      </c>
      <c r="L19" s="548">
        <f t="shared" si="3"/>
        <v>35217126</v>
      </c>
      <c r="M19" s="548">
        <f t="shared" si="3"/>
        <v>35206126</v>
      </c>
      <c r="N19" s="548">
        <f t="shared" si="3"/>
        <v>35206376</v>
      </c>
      <c r="O19" s="549">
        <f t="shared" si="1"/>
        <v>1154843483</v>
      </c>
    </row>
    <row r="20" spans="1:15" s="550" customFormat="1" ht="15.95" customHeight="1">
      <c r="A20" s="551"/>
      <c r="B20" s="552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</row>
    <row r="21" spans="1:15" s="557" customFormat="1" ht="15.95" customHeight="1">
      <c r="A21" s="554"/>
      <c r="B21" s="555"/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  <c r="O21" s="556"/>
    </row>
    <row r="22" spans="1:15" s="540" customFormat="1" ht="15" customHeight="1" thickBot="1">
      <c r="A22" s="558"/>
      <c r="B22" s="842" t="s">
        <v>52</v>
      </c>
      <c r="C22" s="843"/>
      <c r="D22" s="843"/>
      <c r="E22" s="843"/>
      <c r="F22" s="843"/>
      <c r="G22" s="843"/>
      <c r="H22" s="843"/>
      <c r="I22" s="843"/>
      <c r="J22" s="843"/>
      <c r="K22" s="843"/>
      <c r="L22" s="843"/>
      <c r="M22" s="843"/>
      <c r="N22" s="843"/>
      <c r="O22" s="844"/>
    </row>
    <row r="23" spans="1:15" s="545" customFormat="1" ht="22.5" customHeight="1">
      <c r="A23" s="541" t="s">
        <v>14</v>
      </c>
      <c r="B23" s="542" t="s">
        <v>57</v>
      </c>
      <c r="C23" s="543">
        <f>289590+5296811+5</f>
        <v>5586406</v>
      </c>
      <c r="D23" s="543">
        <f>289590+5296811</f>
        <v>5586401</v>
      </c>
      <c r="E23" s="543">
        <f>5296811</f>
        <v>5296811</v>
      </c>
      <c r="F23" s="543">
        <f>5296811</f>
        <v>5296811</v>
      </c>
      <c r="G23" s="543">
        <f>5296811</f>
        <v>5296811</v>
      </c>
      <c r="H23" s="543">
        <f>5296811</f>
        <v>5296811</v>
      </c>
      <c r="I23" s="543">
        <f>6877200+5296811</f>
        <v>12174011</v>
      </c>
      <c r="J23" s="543">
        <f>6877200+5296811</f>
        <v>12174011</v>
      </c>
      <c r="K23" s="543">
        <f>5296811</f>
        <v>5296811</v>
      </c>
      <c r="L23" s="543">
        <f>5296811</f>
        <v>5296811</v>
      </c>
      <c r="M23" s="543">
        <f>3144000+5296811</f>
        <v>8440811</v>
      </c>
      <c r="N23" s="543">
        <f>5296811</f>
        <v>5296811</v>
      </c>
      <c r="O23" s="544">
        <f>SUM(C23:N23)</f>
        <v>81039317</v>
      </c>
    </row>
    <row r="24" spans="1:15" s="545" customFormat="1" ht="22.5" customHeight="1">
      <c r="A24" s="541" t="s">
        <v>15</v>
      </c>
      <c r="B24" s="542" t="s">
        <v>172</v>
      </c>
      <c r="C24" s="543">
        <f>23847+1136734-5</f>
        <v>1160576</v>
      </c>
      <c r="D24" s="543">
        <f>23847+1136734</f>
        <v>1160581</v>
      </c>
      <c r="E24" s="543">
        <f>1136734</f>
        <v>1136734</v>
      </c>
      <c r="F24" s="543">
        <f>1136734</f>
        <v>1136734</v>
      </c>
      <c r="G24" s="543">
        <f>1136734</f>
        <v>1136734</v>
      </c>
      <c r="H24" s="543">
        <f>1136734</f>
        <v>1136734</v>
      </c>
      <c r="I24" s="543">
        <f>1415772+1136734</f>
        <v>2552506</v>
      </c>
      <c r="J24" s="543">
        <f>1415772+1136734</f>
        <v>2552506</v>
      </c>
      <c r="K24" s="543">
        <f>1136734</f>
        <v>1136734</v>
      </c>
      <c r="L24" s="543">
        <f>1136734</f>
        <v>1136734</v>
      </c>
      <c r="M24" s="543">
        <f>613080+1136734</f>
        <v>1749814</v>
      </c>
      <c r="N24" s="543">
        <f>1136734</f>
        <v>1136734</v>
      </c>
      <c r="O24" s="544">
        <f>SUM(C24:N24)</f>
        <v>17133121</v>
      </c>
    </row>
    <row r="25" spans="1:15" s="545" customFormat="1" ht="22.5" customHeight="1">
      <c r="A25" s="541" t="s">
        <v>16</v>
      </c>
      <c r="B25" s="542" t="s">
        <v>131</v>
      </c>
      <c r="C25" s="543">
        <f>17138605+3295558-2</f>
        <v>20434161</v>
      </c>
      <c r="D25" s="543">
        <f>17138605+1056000+1270000+3295558</f>
        <v>22760163</v>
      </c>
      <c r="E25" s="543">
        <f>17138605+900000+7600000+700000+2625000+3295558+32345</f>
        <v>32291508</v>
      </c>
      <c r="F25" s="543">
        <f>9566169+17138605+3295558</f>
        <v>30000332</v>
      </c>
      <c r="G25" s="543">
        <f>9566169+17138605+3295558+650000</f>
        <v>30650332</v>
      </c>
      <c r="H25" s="543">
        <f>17138605+29379062+3295558</f>
        <v>49813225</v>
      </c>
      <c r="I25" s="543">
        <f>150000+533400+29379062+3295558</f>
        <v>33358020</v>
      </c>
      <c r="J25" s="543">
        <f>150000+29379062+3295558-4000000</f>
        <v>28824620</v>
      </c>
      <c r="K25" s="543">
        <f>3295558</f>
        <v>3295558</v>
      </c>
      <c r="L25" s="543">
        <f>3295558</f>
        <v>3295558</v>
      </c>
      <c r="M25" s="543">
        <f>3295558</f>
        <v>3295558</v>
      </c>
      <c r="N25" s="543">
        <f>2540000+3295558</f>
        <v>5835558</v>
      </c>
      <c r="O25" s="544">
        <f>SUM(C25:N25)</f>
        <v>263854593</v>
      </c>
    </row>
    <row r="26" spans="1:15" s="545" customFormat="1" ht="22.5" customHeight="1">
      <c r="A26" s="541" t="s">
        <v>17</v>
      </c>
      <c r="B26" s="542" t="s">
        <v>173</v>
      </c>
      <c r="C26" s="543">
        <f t="shared" ref="C26:I26" si="4">352500</f>
        <v>352500</v>
      </c>
      <c r="D26" s="543">
        <f t="shared" si="4"/>
        <v>352500</v>
      </c>
      <c r="E26" s="543">
        <f t="shared" si="4"/>
        <v>352500</v>
      </c>
      <c r="F26" s="543">
        <f t="shared" si="4"/>
        <v>352500</v>
      </c>
      <c r="G26" s="543">
        <f t="shared" si="4"/>
        <v>352500</v>
      </c>
      <c r="H26" s="543">
        <f t="shared" si="4"/>
        <v>352500</v>
      </c>
      <c r="I26" s="543">
        <f t="shared" si="4"/>
        <v>352500</v>
      </c>
      <c r="J26" s="543">
        <f>50000+900000+352500</f>
        <v>1302500</v>
      </c>
      <c r="K26" s="543">
        <f>900000+352500</f>
        <v>1252500</v>
      </c>
      <c r="L26" s="543">
        <f>1200000+352500</f>
        <v>1552500</v>
      </c>
      <c r="M26" s="543">
        <f>50000+352500</f>
        <v>402500</v>
      </c>
      <c r="N26" s="543">
        <f>352500</f>
        <v>352500</v>
      </c>
      <c r="O26" s="544">
        <f>SUM(C26:N26)</f>
        <v>7330000</v>
      </c>
    </row>
    <row r="27" spans="1:15" s="545" customFormat="1" ht="22.5" customHeight="1">
      <c r="A27" s="541" t="s">
        <v>18</v>
      </c>
      <c r="B27" s="542" t="s">
        <v>624</v>
      </c>
      <c r="C27" s="543">
        <f>500000</f>
        <v>500000</v>
      </c>
      <c r="D27" s="543">
        <v>505503</v>
      </c>
      <c r="E27" s="543"/>
      <c r="F27" s="543"/>
      <c r="G27" s="543"/>
      <c r="H27" s="543">
        <f>500000</f>
        <v>500000</v>
      </c>
      <c r="I27" s="543"/>
      <c r="J27" s="543"/>
      <c r="K27" s="543"/>
      <c r="L27" s="543"/>
      <c r="M27" s="543"/>
      <c r="N27" s="543"/>
      <c r="O27" s="544">
        <f>SUM(C27:N27)</f>
        <v>1505503</v>
      </c>
    </row>
    <row r="28" spans="1:15" s="545" customFormat="1" ht="22.5" customHeight="1">
      <c r="A28" s="541" t="s">
        <v>19</v>
      </c>
      <c r="B28" s="542" t="s">
        <v>591</v>
      </c>
      <c r="C28" s="543">
        <f>525000+10259988-4</f>
        <v>10784984</v>
      </c>
      <c r="D28" s="543">
        <f>10259988</f>
        <v>10259988</v>
      </c>
      <c r="E28" s="543">
        <f>1840500+595000+10259988-700000</f>
        <v>11995488</v>
      </c>
      <c r="F28" s="543">
        <f>10259988</f>
        <v>10259988</v>
      </c>
      <c r="G28" s="543">
        <f>10259988</f>
        <v>10259988</v>
      </c>
      <c r="H28" s="543">
        <f>100000+10259988</f>
        <v>10359988</v>
      </c>
      <c r="I28" s="543">
        <f>1500000+10259988</f>
        <v>11759988</v>
      </c>
      <c r="J28" s="543">
        <f>525000+1840500+595000+10259988</f>
        <v>13220488</v>
      </c>
      <c r="K28" s="543">
        <f>10259988</f>
        <v>10259988</v>
      </c>
      <c r="L28" s="543">
        <f>10259988</f>
        <v>10259988</v>
      </c>
      <c r="M28" s="543">
        <f>10259988</f>
        <v>10259988</v>
      </c>
      <c r="N28" s="543">
        <f>10259988</f>
        <v>10259988</v>
      </c>
      <c r="O28" s="544">
        <f t="shared" ref="O28:O35" si="5">SUM(C28:N28)</f>
        <v>129940852</v>
      </c>
    </row>
    <row r="29" spans="1:15" s="545" customFormat="1" ht="22.5" customHeight="1">
      <c r="A29" s="541" t="s">
        <v>20</v>
      </c>
      <c r="B29" s="542" t="s">
        <v>592</v>
      </c>
      <c r="C29" s="543"/>
      <c r="D29" s="543"/>
      <c r="E29" s="543">
        <f>17625000+1440000</f>
        <v>19065000</v>
      </c>
      <c r="F29" s="543"/>
      <c r="G29" s="543"/>
      <c r="H29" s="543"/>
      <c r="I29" s="543"/>
      <c r="J29" s="543">
        <f>23000000</f>
        <v>23000000</v>
      </c>
      <c r="K29" s="543"/>
      <c r="L29" s="543"/>
      <c r="M29" s="543"/>
      <c r="N29" s="543"/>
      <c r="O29" s="544">
        <f t="shared" si="5"/>
        <v>42065000</v>
      </c>
    </row>
    <row r="30" spans="1:15" s="545" customFormat="1" ht="22.5" customHeight="1">
      <c r="A30" s="541" t="s">
        <v>21</v>
      </c>
      <c r="B30" s="542" t="s">
        <v>554</v>
      </c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>
        <v>33170228</v>
      </c>
      <c r="O30" s="544">
        <f t="shared" si="5"/>
        <v>33170228</v>
      </c>
    </row>
    <row r="31" spans="1:15" s="545" customFormat="1" ht="22.5" customHeight="1">
      <c r="A31" s="541" t="s">
        <v>22</v>
      </c>
      <c r="B31" s="542" t="s">
        <v>217</v>
      </c>
      <c r="C31" s="543">
        <f>20429850</f>
        <v>20429850</v>
      </c>
      <c r="D31" s="543">
        <f>1143000+127000+20429850</f>
        <v>21699850</v>
      </c>
      <c r="E31" s="543">
        <f>7556989+20429850-317500</f>
        <v>27669339</v>
      </c>
      <c r="F31" s="543">
        <f>7556990+622554+20429850</f>
        <v>28609394</v>
      </c>
      <c r="G31" s="543">
        <f>1905000+14627225+16510000+20429850</f>
        <v>53472075</v>
      </c>
      <c r="H31" s="543">
        <f>2671233+20429850+7</f>
        <v>23101090</v>
      </c>
      <c r="I31" s="543">
        <f>762000+533400+2671233+20429850</f>
        <v>24396483</v>
      </c>
      <c r="J31" s="543">
        <f>2671233+20429850</f>
        <v>23101083</v>
      </c>
      <c r="K31" s="543">
        <f>20429850</f>
        <v>20429850</v>
      </c>
      <c r="L31" s="543">
        <f>20429850</f>
        <v>20429850</v>
      </c>
      <c r="M31" s="543">
        <f>20429850</f>
        <v>20429850</v>
      </c>
      <c r="N31" s="543">
        <f>20429850</f>
        <v>20429850</v>
      </c>
      <c r="O31" s="544">
        <f t="shared" si="5"/>
        <v>304198564</v>
      </c>
    </row>
    <row r="32" spans="1:15" s="545" customFormat="1" ht="22.5" customHeight="1">
      <c r="A32" s="541" t="s">
        <v>23</v>
      </c>
      <c r="B32" s="542" t="s">
        <v>176</v>
      </c>
      <c r="C32" s="543">
        <f>7391575</f>
        <v>7391575</v>
      </c>
      <c r="D32" s="543">
        <f>7391575</f>
        <v>7391575</v>
      </c>
      <c r="E32" s="543">
        <f>317500+7391575-3+317500</f>
        <v>8026572</v>
      </c>
      <c r="F32" s="543">
        <f>254000+7391575</f>
        <v>7645575</v>
      </c>
      <c r="G32" s="543">
        <f t="shared" ref="G32:N32" si="6">7391575</f>
        <v>7391575</v>
      </c>
      <c r="H32" s="543">
        <f t="shared" si="6"/>
        <v>7391575</v>
      </c>
      <c r="I32" s="543">
        <f t="shared" si="6"/>
        <v>7391575</v>
      </c>
      <c r="J32" s="543">
        <f t="shared" si="6"/>
        <v>7391575</v>
      </c>
      <c r="K32" s="543">
        <f t="shared" si="6"/>
        <v>7391575</v>
      </c>
      <c r="L32" s="543">
        <f t="shared" si="6"/>
        <v>7391575</v>
      </c>
      <c r="M32" s="543">
        <f t="shared" si="6"/>
        <v>7391575</v>
      </c>
      <c r="N32" s="543">
        <f t="shared" si="6"/>
        <v>7391575</v>
      </c>
      <c r="O32" s="544">
        <f t="shared" si="5"/>
        <v>89587897</v>
      </c>
    </row>
    <row r="33" spans="1:15" s="545" customFormat="1" ht="22.5" customHeight="1">
      <c r="A33" s="541" t="s">
        <v>24</v>
      </c>
      <c r="B33" s="542" t="s">
        <v>219</v>
      </c>
      <c r="C33" s="543"/>
      <c r="D33" s="543"/>
      <c r="E33" s="543">
        <f>600000+50000</f>
        <v>650000</v>
      </c>
      <c r="F33" s="543"/>
      <c r="G33" s="543"/>
      <c r="H33" s="543"/>
      <c r="I33" s="543"/>
      <c r="J33" s="543"/>
      <c r="K33" s="543"/>
      <c r="L33" s="543"/>
      <c r="M33" s="543"/>
      <c r="N33" s="543"/>
      <c r="O33" s="544">
        <f t="shared" si="5"/>
        <v>650000</v>
      </c>
    </row>
    <row r="34" spans="1:15" s="545" customFormat="1" ht="22.5" customHeight="1" thickBot="1">
      <c r="A34" s="541" t="s">
        <v>25</v>
      </c>
      <c r="B34" s="542" t="s">
        <v>10</v>
      </c>
      <c r="C34" s="543">
        <f>(176260688/12)+8107720</f>
        <v>22796110.666666664</v>
      </c>
      <c r="D34" s="543">
        <f t="shared" ref="D34:N34" si="7">(176260688/12)</f>
        <v>14688390.666666666</v>
      </c>
      <c r="E34" s="543">
        <f t="shared" si="7"/>
        <v>14688390.666666666</v>
      </c>
      <c r="F34" s="543">
        <f t="shared" si="7"/>
        <v>14688390.666666666</v>
      </c>
      <c r="G34" s="543">
        <f t="shared" si="7"/>
        <v>14688390.666666666</v>
      </c>
      <c r="H34" s="543">
        <f t="shared" si="7"/>
        <v>14688390.666666666</v>
      </c>
      <c r="I34" s="543">
        <f t="shared" si="7"/>
        <v>14688390.666666666</v>
      </c>
      <c r="J34" s="543">
        <f t="shared" si="7"/>
        <v>14688390.666666666</v>
      </c>
      <c r="K34" s="543">
        <f t="shared" si="7"/>
        <v>14688390.666666666</v>
      </c>
      <c r="L34" s="543">
        <f t="shared" si="7"/>
        <v>14688390.666666666</v>
      </c>
      <c r="M34" s="543">
        <f t="shared" si="7"/>
        <v>14688390.666666666</v>
      </c>
      <c r="N34" s="543">
        <f t="shared" si="7"/>
        <v>14688390.666666666</v>
      </c>
      <c r="O34" s="544">
        <f t="shared" si="5"/>
        <v>184368407.99999997</v>
      </c>
    </row>
    <row r="35" spans="1:15" s="550" customFormat="1" ht="15.95" customHeight="1" thickBot="1">
      <c r="A35" s="546"/>
      <c r="B35" s="547" t="s">
        <v>105</v>
      </c>
      <c r="C35" s="548">
        <f t="shared" ref="C35:N35" si="8">SUM(C23:C34)</f>
        <v>89436162.666666657</v>
      </c>
      <c r="D35" s="548">
        <f t="shared" si="8"/>
        <v>84404951.666666672</v>
      </c>
      <c r="E35" s="548">
        <f t="shared" si="8"/>
        <v>121172342.66666667</v>
      </c>
      <c r="F35" s="548">
        <f t="shared" si="8"/>
        <v>97989724.666666672</v>
      </c>
      <c r="G35" s="548">
        <f t="shared" si="8"/>
        <v>123248405.66666667</v>
      </c>
      <c r="H35" s="548">
        <f t="shared" si="8"/>
        <v>112640313.66666667</v>
      </c>
      <c r="I35" s="548">
        <f t="shared" si="8"/>
        <v>106673473.66666667</v>
      </c>
      <c r="J35" s="548">
        <f t="shared" si="8"/>
        <v>126255173.66666667</v>
      </c>
      <c r="K35" s="548">
        <f t="shared" si="8"/>
        <v>63751406.666666664</v>
      </c>
      <c r="L35" s="548">
        <f t="shared" si="8"/>
        <v>64051406.666666664</v>
      </c>
      <c r="M35" s="548">
        <f t="shared" si="8"/>
        <v>66658486.666666664</v>
      </c>
      <c r="N35" s="548">
        <f t="shared" si="8"/>
        <v>98561634.666666672</v>
      </c>
      <c r="O35" s="549">
        <f t="shared" si="5"/>
        <v>1154843482.9999998</v>
      </c>
    </row>
    <row r="36" spans="1:15" s="550" customFormat="1" ht="15.95" customHeight="1" thickBot="1">
      <c r="A36" s="559"/>
      <c r="B36" s="560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</row>
    <row r="37" spans="1:15" ht="16.5" thickBot="1">
      <c r="A37" s="546"/>
      <c r="B37" s="547" t="s">
        <v>106</v>
      </c>
      <c r="C37" s="548">
        <f t="shared" ref="C37:O37" si="9">C19-C35</f>
        <v>483233923.33333337</v>
      </c>
      <c r="D37" s="548">
        <f t="shared" si="9"/>
        <v>-52595479.666666672</v>
      </c>
      <c r="E37" s="548">
        <f t="shared" si="9"/>
        <v>-85804431.666666672</v>
      </c>
      <c r="F37" s="548">
        <f t="shared" si="9"/>
        <v>-59686789.666666672</v>
      </c>
      <c r="G37" s="548">
        <f t="shared" si="9"/>
        <v>-87880744.666666672</v>
      </c>
      <c r="H37" s="548">
        <f t="shared" si="9"/>
        <v>-58117532.666666672</v>
      </c>
      <c r="I37" s="548">
        <f t="shared" si="9"/>
        <v>-21926347.666666672</v>
      </c>
      <c r="J37" s="548">
        <f t="shared" si="9"/>
        <v>-6643618.6666666716</v>
      </c>
      <c r="K37" s="548">
        <f t="shared" si="9"/>
        <v>13062921.333333336</v>
      </c>
      <c r="L37" s="548">
        <f t="shared" si="9"/>
        <v>-28834280.666666664</v>
      </c>
      <c r="M37" s="548">
        <f t="shared" si="9"/>
        <v>-31452360.666666664</v>
      </c>
      <c r="N37" s="548">
        <f t="shared" si="9"/>
        <v>-63355258.666666672</v>
      </c>
      <c r="O37" s="549">
        <f t="shared" si="9"/>
        <v>0</v>
      </c>
    </row>
  </sheetData>
  <mergeCells count="5">
    <mergeCell ref="A4:O4"/>
    <mergeCell ref="A5:O5"/>
    <mergeCell ref="B9:O9"/>
    <mergeCell ref="B22:O22"/>
    <mergeCell ref="L1:N1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1" orientation="landscape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2">
    <tabColor rgb="FFFFFF00"/>
  </sheetPr>
  <dimension ref="A1:B38"/>
  <sheetViews>
    <sheetView zoomScaleNormal="100" workbookViewId="0">
      <selection activeCell="B4" sqref="B4"/>
    </sheetView>
  </sheetViews>
  <sheetFormatPr defaultRowHeight="15.75"/>
  <cols>
    <col min="1" max="1" width="109.5" style="498" bestFit="1" customWidth="1"/>
    <col min="2" max="2" width="35.33203125" style="498" bestFit="1" customWidth="1"/>
    <col min="3" max="16384" width="9.33203125" style="498"/>
  </cols>
  <sheetData>
    <row r="1" spans="1:2">
      <c r="A1" s="497" t="s">
        <v>536</v>
      </c>
    </row>
    <row r="2" spans="1:2">
      <c r="A2" s="355" t="s">
        <v>587</v>
      </c>
    </row>
    <row r="3" spans="1:2">
      <c r="A3" s="356" t="s">
        <v>687</v>
      </c>
      <c r="B3" s="356"/>
    </row>
    <row r="4" spans="1:2">
      <c r="A4" s="357"/>
      <c r="B4" s="525" t="s">
        <v>581</v>
      </c>
    </row>
    <row r="5" spans="1:2" s="499" customFormat="1">
      <c r="A5" s="358" t="s">
        <v>47</v>
      </c>
      <c r="B5" s="358" t="s">
        <v>688</v>
      </c>
    </row>
    <row r="6" spans="1:2" s="500" customFormat="1">
      <c r="A6" s="358" t="s">
        <v>483</v>
      </c>
      <c r="B6" s="358" t="s">
        <v>484</v>
      </c>
    </row>
    <row r="7" spans="1:2">
      <c r="A7" s="358" t="s">
        <v>558</v>
      </c>
      <c r="B7" s="526">
        <f>SUM(B8+B9+B15+B17+B16+B14)</f>
        <v>118506104</v>
      </c>
    </row>
    <row r="8" spans="1:2">
      <c r="A8" s="501" t="s">
        <v>559</v>
      </c>
      <c r="B8" s="527">
        <v>48777000</v>
      </c>
    </row>
    <row r="9" spans="1:2">
      <c r="A9" s="501" t="s">
        <v>560</v>
      </c>
      <c r="B9" s="528">
        <f>B10+B11+B12+B13</f>
        <v>32900904</v>
      </c>
    </row>
    <row r="10" spans="1:2">
      <c r="A10" s="502" t="s">
        <v>561</v>
      </c>
      <c r="B10" s="527">
        <v>7367920</v>
      </c>
    </row>
    <row r="11" spans="1:2">
      <c r="A11" s="502" t="s">
        <v>562</v>
      </c>
      <c r="B11" s="527">
        <v>14432000</v>
      </c>
    </row>
    <row r="12" spans="1:2">
      <c r="A12" s="502" t="s">
        <v>563</v>
      </c>
      <c r="B12" s="527">
        <v>1744044</v>
      </c>
    </row>
    <row r="13" spans="1:2">
      <c r="A13" s="502" t="s">
        <v>564</v>
      </c>
      <c r="B13" s="527">
        <v>9356940</v>
      </c>
    </row>
    <row r="14" spans="1:2">
      <c r="A14" s="501" t="s">
        <v>653</v>
      </c>
      <c r="B14" s="527">
        <v>972400</v>
      </c>
    </row>
    <row r="15" spans="1:2">
      <c r="A15" s="501" t="s">
        <v>582</v>
      </c>
      <c r="B15" s="527">
        <v>6885000</v>
      </c>
    </row>
    <row r="16" spans="1:2">
      <c r="A16" s="501" t="s">
        <v>571</v>
      </c>
      <c r="B16" s="529">
        <v>28970800</v>
      </c>
    </row>
    <row r="17" spans="1:2">
      <c r="A17" s="501" t="s">
        <v>695</v>
      </c>
      <c r="B17" s="529"/>
    </row>
    <row r="18" spans="1:2">
      <c r="A18" s="503" t="s">
        <v>565</v>
      </c>
      <c r="B18" s="530">
        <f>SUM(B19:B20)</f>
        <v>64532484</v>
      </c>
    </row>
    <row r="19" spans="1:2">
      <c r="A19" s="501" t="s">
        <v>583</v>
      </c>
      <c r="B19" s="527">
        <v>54467817</v>
      </c>
    </row>
    <row r="20" spans="1:2">
      <c r="A20" s="501" t="s">
        <v>566</v>
      </c>
      <c r="B20" s="527">
        <v>10064667</v>
      </c>
    </row>
    <row r="21" spans="1:2">
      <c r="A21" s="503" t="s">
        <v>585</v>
      </c>
      <c r="B21" s="530">
        <f>B22+B23+B24+B25</f>
        <v>37842188</v>
      </c>
    </row>
    <row r="22" spans="1:2">
      <c r="A22" s="504" t="s">
        <v>567</v>
      </c>
      <c r="B22" s="531">
        <v>11093000</v>
      </c>
    </row>
    <row r="23" spans="1:2">
      <c r="A23" s="505" t="s">
        <v>568</v>
      </c>
      <c r="B23" s="532">
        <v>885760</v>
      </c>
    </row>
    <row r="24" spans="1:2">
      <c r="A24" s="501" t="s">
        <v>569</v>
      </c>
      <c r="B24" s="529">
        <v>11913000</v>
      </c>
    </row>
    <row r="25" spans="1:2">
      <c r="A25" s="501" t="s">
        <v>570</v>
      </c>
      <c r="B25" s="529">
        <v>13950428</v>
      </c>
    </row>
    <row r="26" spans="1:2">
      <c r="A26" s="503" t="s">
        <v>586</v>
      </c>
      <c r="B26" s="533">
        <f>B27+B28+B29</f>
        <v>3085500</v>
      </c>
    </row>
    <row r="27" spans="1:2">
      <c r="A27" s="505" t="s">
        <v>584</v>
      </c>
      <c r="B27" s="532">
        <v>3085500</v>
      </c>
    </row>
    <row r="28" spans="1:2">
      <c r="A28" s="505" t="s">
        <v>627</v>
      </c>
      <c r="B28" s="532"/>
    </row>
    <row r="29" spans="1:2">
      <c r="A29" s="505" t="s">
        <v>640</v>
      </c>
      <c r="B29" s="532"/>
    </row>
    <row r="30" spans="1:2" s="506" customFormat="1">
      <c r="A30" s="503" t="s">
        <v>639</v>
      </c>
      <c r="B30" s="533">
        <f>B31+B32+B33</f>
        <v>0</v>
      </c>
    </row>
    <row r="31" spans="1:2">
      <c r="A31" s="501" t="s">
        <v>643</v>
      </c>
      <c r="B31" s="529"/>
    </row>
    <row r="32" spans="1:2">
      <c r="A32" s="501" t="s">
        <v>572</v>
      </c>
      <c r="B32" s="529"/>
    </row>
    <row r="33" spans="1:2">
      <c r="A33" s="501" t="s">
        <v>638</v>
      </c>
      <c r="B33" s="529"/>
    </row>
    <row r="34" spans="1:2">
      <c r="A34" s="503" t="s">
        <v>427</v>
      </c>
      <c r="B34" s="533">
        <f>B35</f>
        <v>0</v>
      </c>
    </row>
    <row r="35" spans="1:2">
      <c r="A35" s="501" t="s">
        <v>696</v>
      </c>
      <c r="B35" s="529"/>
    </row>
    <row r="36" spans="1:2">
      <c r="A36" s="503" t="s">
        <v>670</v>
      </c>
      <c r="B36" s="533">
        <f>B37</f>
        <v>0</v>
      </c>
    </row>
    <row r="37" spans="1:2">
      <c r="A37" s="501" t="s">
        <v>670</v>
      </c>
      <c r="B37" s="529"/>
    </row>
    <row r="38" spans="1:2">
      <c r="A38" s="507" t="s">
        <v>48</v>
      </c>
      <c r="B38" s="526">
        <f>B7+B18+B21+B26+B30+B34+B36</f>
        <v>223966276</v>
      </c>
    </row>
  </sheetData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65" orientation="portrait" verticalDpi="300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3">
    <tabColor rgb="FFFFFF00"/>
  </sheetPr>
  <dimension ref="A1:D22"/>
  <sheetViews>
    <sheetView topLeftCell="A13" zoomScaleNormal="100" workbookViewId="0">
      <selection activeCell="B25" sqref="B25"/>
    </sheetView>
  </sheetViews>
  <sheetFormatPr defaultColWidth="14" defaultRowHeight="15.75"/>
  <cols>
    <col min="1" max="1" width="10.5" style="348" bestFit="1" customWidth="1"/>
    <col min="2" max="2" width="78.33203125" style="348" bestFit="1" customWidth="1"/>
    <col min="3" max="3" width="47.6640625" style="348" bestFit="1" customWidth="1"/>
    <col min="4" max="4" width="14.33203125" style="348" bestFit="1" customWidth="1"/>
    <col min="5" max="16384" width="14" style="348"/>
  </cols>
  <sheetData>
    <row r="1" spans="1:4" ht="22.5" customHeight="1">
      <c r="A1" s="846" t="s">
        <v>580</v>
      </c>
      <c r="B1" s="846"/>
      <c r="C1" s="846"/>
    </row>
    <row r="2" spans="1:4" ht="17.25" customHeight="1">
      <c r="A2" s="846" t="s">
        <v>685</v>
      </c>
      <c r="B2" s="846"/>
      <c r="C2" s="846"/>
      <c r="D2" s="347"/>
    </row>
    <row r="3" spans="1:4" ht="17.25" customHeight="1">
      <c r="A3" s="347"/>
      <c r="B3" s="347"/>
      <c r="C3" s="347"/>
      <c r="D3" s="347"/>
    </row>
    <row r="4" spans="1:4" ht="16.5" thickBot="1">
      <c r="A4" s="349"/>
      <c r="B4" s="349"/>
      <c r="C4" s="393" t="s">
        <v>581</v>
      </c>
    </row>
    <row r="5" spans="1:4" ht="55.5" customHeight="1">
      <c r="A5" s="350" t="s">
        <v>578</v>
      </c>
      <c r="B5" s="350" t="s">
        <v>120</v>
      </c>
      <c r="C5" s="350" t="s">
        <v>121</v>
      </c>
      <c r="D5" s="523" t="s">
        <v>686</v>
      </c>
    </row>
    <row r="6" spans="1:4" ht="15.95" customHeight="1">
      <c r="A6" s="351" t="s">
        <v>14</v>
      </c>
      <c r="B6" s="352" t="s">
        <v>550</v>
      </c>
      <c r="C6" s="352" t="s">
        <v>574</v>
      </c>
      <c r="D6" s="521">
        <v>200000</v>
      </c>
    </row>
    <row r="7" spans="1:4" ht="15.95" customHeight="1">
      <c r="A7" s="351" t="s">
        <v>15</v>
      </c>
      <c r="B7" s="404" t="s">
        <v>542</v>
      </c>
      <c r="C7" s="404" t="s">
        <v>574</v>
      </c>
      <c r="D7" s="522">
        <v>300000</v>
      </c>
    </row>
    <row r="8" spans="1:4" ht="15.95" customHeight="1">
      <c r="A8" s="351" t="s">
        <v>16</v>
      </c>
      <c r="B8" s="352" t="s">
        <v>543</v>
      </c>
      <c r="C8" s="352" t="s">
        <v>574</v>
      </c>
      <c r="D8" s="521">
        <v>100000</v>
      </c>
    </row>
    <row r="9" spans="1:4" ht="18.75" customHeight="1">
      <c r="A9" s="351" t="s">
        <v>17</v>
      </c>
      <c r="B9" s="353" t="s">
        <v>545</v>
      </c>
      <c r="C9" s="352" t="s">
        <v>574</v>
      </c>
      <c r="D9" s="521">
        <v>1150000</v>
      </c>
    </row>
    <row r="10" spans="1:4" ht="15.95" customHeight="1">
      <c r="A10" s="351" t="s">
        <v>18</v>
      </c>
      <c r="B10" s="352" t="s">
        <v>546</v>
      </c>
      <c r="C10" s="352" t="s">
        <v>574</v>
      </c>
      <c r="D10" s="521">
        <v>200000</v>
      </c>
    </row>
    <row r="11" spans="1:4" ht="15.95" customHeight="1">
      <c r="A11" s="351" t="s">
        <v>19</v>
      </c>
      <c r="B11" s="352" t="s">
        <v>546</v>
      </c>
      <c r="C11" s="352" t="s">
        <v>574</v>
      </c>
      <c r="D11" s="521">
        <v>500000</v>
      </c>
    </row>
    <row r="12" spans="1:4" ht="15.95" customHeight="1">
      <c r="A12" s="351" t="s">
        <v>20</v>
      </c>
      <c r="B12" s="352" t="s">
        <v>644</v>
      </c>
      <c r="C12" s="352" t="s">
        <v>574</v>
      </c>
      <c r="D12" s="521">
        <v>80000</v>
      </c>
    </row>
    <row r="13" spans="1:4" ht="15.95" customHeight="1">
      <c r="A13" s="351" t="s">
        <v>21</v>
      </c>
      <c r="B13" s="352" t="s">
        <v>547</v>
      </c>
      <c r="C13" s="352" t="s">
        <v>574</v>
      </c>
      <c r="D13" s="521">
        <v>7600000</v>
      </c>
    </row>
    <row r="14" spans="1:4" ht="15.95" customHeight="1">
      <c r="A14" s="351" t="s">
        <v>22</v>
      </c>
      <c r="B14" s="352" t="s">
        <v>548</v>
      </c>
      <c r="C14" s="352" t="s">
        <v>574</v>
      </c>
      <c r="D14" s="521">
        <v>700000</v>
      </c>
    </row>
    <row r="15" spans="1:4" ht="16.5" customHeight="1">
      <c r="A15" s="351" t="s">
        <v>23</v>
      </c>
      <c r="B15" s="352" t="s">
        <v>544</v>
      </c>
      <c r="C15" s="352" t="s">
        <v>574</v>
      </c>
      <c r="D15" s="521">
        <v>900000</v>
      </c>
    </row>
    <row r="16" spans="1:4" ht="15.95" customHeight="1">
      <c r="A16" s="351" t="s">
        <v>24</v>
      </c>
      <c r="B16" s="352" t="s">
        <v>637</v>
      </c>
      <c r="C16" s="352" t="s">
        <v>574</v>
      </c>
      <c r="D16" s="521">
        <v>5600000</v>
      </c>
    </row>
    <row r="17" spans="1:4" ht="15.95" customHeight="1">
      <c r="A17" s="351" t="s">
        <v>25</v>
      </c>
      <c r="B17" s="352" t="s">
        <v>549</v>
      </c>
      <c r="C17" s="352" t="s">
        <v>574</v>
      </c>
      <c r="D17" s="521">
        <v>200000</v>
      </c>
    </row>
    <row r="18" spans="1:4" ht="15.95" customHeight="1">
      <c r="A18" s="351" t="s">
        <v>26</v>
      </c>
      <c r="B18" s="352" t="s">
        <v>612</v>
      </c>
      <c r="C18" s="352" t="s">
        <v>574</v>
      </c>
      <c r="D18" s="521">
        <v>95000</v>
      </c>
    </row>
    <row r="19" spans="1:4" ht="15.95" customHeight="1">
      <c r="A19" s="351" t="s">
        <v>27</v>
      </c>
      <c r="B19" s="352" t="s">
        <v>579</v>
      </c>
      <c r="C19" s="352" t="s">
        <v>574</v>
      </c>
      <c r="D19" s="521">
        <v>1440000</v>
      </c>
    </row>
    <row r="20" spans="1:4" ht="15.95" customHeight="1">
      <c r="A20" s="351" t="s">
        <v>31</v>
      </c>
      <c r="B20" s="352" t="s">
        <v>547</v>
      </c>
      <c r="C20" s="352" t="s">
        <v>669</v>
      </c>
      <c r="D20" s="521">
        <v>600000</v>
      </c>
    </row>
    <row r="21" spans="1:4" ht="15.95" customHeight="1" thickBot="1">
      <c r="A21" s="351" t="s">
        <v>32</v>
      </c>
      <c r="B21" s="352" t="s">
        <v>714</v>
      </c>
      <c r="C21" s="352" t="s">
        <v>669</v>
      </c>
      <c r="D21" s="521">
        <v>50000</v>
      </c>
    </row>
    <row r="22" spans="1:4" ht="15.95" customHeight="1" thickBot="1">
      <c r="A22" s="847" t="s">
        <v>48</v>
      </c>
      <c r="B22" s="848"/>
      <c r="C22" s="354"/>
      <c r="D22" s="524">
        <f>SUM(D6:D21)</f>
        <v>19715000</v>
      </c>
    </row>
  </sheetData>
  <mergeCells count="3">
    <mergeCell ref="A1:C1"/>
    <mergeCell ref="A22:B22"/>
    <mergeCell ref="A2:C2"/>
  </mergeCells>
  <phoneticPr fontId="6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63" orientation="portrait" copies="4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4">
    <tabColor rgb="FFFFFF00"/>
  </sheetPr>
  <dimension ref="A1:F48"/>
  <sheetViews>
    <sheetView topLeftCell="A10" zoomScale="120" zoomScaleNormal="120" zoomScaleSheetLayoutView="100" workbookViewId="0">
      <selection activeCell="B37" sqref="B37"/>
    </sheetView>
  </sheetViews>
  <sheetFormatPr defaultRowHeight="15.75"/>
  <cols>
    <col min="1" max="1" width="9" style="33" customWidth="1"/>
    <col min="2" max="2" width="66.33203125" style="33" bestFit="1" customWidth="1"/>
    <col min="3" max="5" width="15.5" style="508" customWidth="1"/>
    <col min="6" max="6" width="9" style="33" customWidth="1"/>
    <col min="7" max="16384" width="9.33203125" style="33"/>
  </cols>
  <sheetData>
    <row r="1" spans="1:5" ht="15.95" customHeight="1">
      <c r="A1" s="778" t="s">
        <v>11</v>
      </c>
      <c r="B1" s="778"/>
      <c r="C1" s="778"/>
      <c r="D1" s="778"/>
      <c r="E1" s="778"/>
    </row>
    <row r="2" spans="1:5" ht="15.95" customHeight="1" thickBot="1">
      <c r="A2" s="779" t="s">
        <v>142</v>
      </c>
      <c r="B2" s="779"/>
    </row>
    <row r="3" spans="1:5" ht="38.1" customHeight="1" thickBot="1">
      <c r="A3" s="34" t="s">
        <v>64</v>
      </c>
      <c r="B3" s="35" t="s">
        <v>13</v>
      </c>
      <c r="C3" s="35" t="s">
        <v>662</v>
      </c>
      <c r="D3" s="35" t="s">
        <v>663</v>
      </c>
      <c r="E3" s="35" t="s">
        <v>684</v>
      </c>
    </row>
    <row r="4" spans="1:5" s="38" customFormat="1" ht="12" customHeight="1" thickBot="1">
      <c r="A4" s="74" t="s">
        <v>483</v>
      </c>
      <c r="B4" s="75" t="s">
        <v>484</v>
      </c>
      <c r="C4" s="75" t="s">
        <v>485</v>
      </c>
      <c r="D4" s="75" t="s">
        <v>485</v>
      </c>
      <c r="E4" s="75" t="s">
        <v>485</v>
      </c>
    </row>
    <row r="5" spans="1:5" s="42" customFormat="1" ht="12" customHeight="1" thickBot="1">
      <c r="A5" s="39" t="s">
        <v>14</v>
      </c>
      <c r="B5" s="40" t="s">
        <v>522</v>
      </c>
      <c r="C5" s="509">
        <v>224000000</v>
      </c>
      <c r="D5" s="509">
        <v>224000000</v>
      </c>
      <c r="E5" s="509">
        <v>224000000</v>
      </c>
    </row>
    <row r="6" spans="1:5" s="42" customFormat="1" ht="12" customHeight="1" thickBot="1">
      <c r="A6" s="39" t="s">
        <v>15</v>
      </c>
      <c r="B6" s="52" t="s">
        <v>370</v>
      </c>
      <c r="C6" s="509">
        <v>37000000</v>
      </c>
      <c r="D6" s="509">
        <v>37000000</v>
      </c>
      <c r="E6" s="509">
        <v>37000000</v>
      </c>
    </row>
    <row r="7" spans="1:5" s="42" customFormat="1" ht="12" customHeight="1" thickBot="1">
      <c r="A7" s="39" t="s">
        <v>16</v>
      </c>
      <c r="B7" s="40" t="s">
        <v>378</v>
      </c>
      <c r="C7" s="509"/>
      <c r="D7" s="509"/>
      <c r="E7" s="509"/>
    </row>
    <row r="8" spans="1:5" s="42" customFormat="1" ht="12" customHeight="1" thickBot="1">
      <c r="A8" s="39" t="s">
        <v>162</v>
      </c>
      <c r="B8" s="40" t="s">
        <v>256</v>
      </c>
      <c r="C8" s="510">
        <f>+C9+C13+C14+C15</f>
        <v>136700000</v>
      </c>
      <c r="D8" s="510">
        <f>+D9+D13+D14+D15</f>
        <v>136700000</v>
      </c>
      <c r="E8" s="510">
        <f>+E9+E13+E14+E15</f>
        <v>136700000</v>
      </c>
    </row>
    <row r="9" spans="1:5" s="42" customFormat="1" ht="12" customHeight="1">
      <c r="A9" s="43" t="s">
        <v>257</v>
      </c>
      <c r="B9" s="44" t="s">
        <v>433</v>
      </c>
      <c r="C9" s="511">
        <f>+C10+C11+C12</f>
        <v>100000000</v>
      </c>
      <c r="D9" s="511">
        <f>+D10+D11+D12</f>
        <v>100000000</v>
      </c>
      <c r="E9" s="511">
        <f>+E10+E11+E12</f>
        <v>100000000</v>
      </c>
    </row>
    <row r="10" spans="1:5" s="42" customFormat="1" ht="12" customHeight="1">
      <c r="A10" s="46" t="s">
        <v>258</v>
      </c>
      <c r="B10" s="47" t="s">
        <v>263</v>
      </c>
      <c r="C10" s="512">
        <v>58000000</v>
      </c>
      <c r="D10" s="512">
        <v>58000000</v>
      </c>
      <c r="E10" s="512">
        <v>58000000</v>
      </c>
    </row>
    <row r="11" spans="1:5" s="42" customFormat="1" ht="12" customHeight="1">
      <c r="A11" s="46" t="s">
        <v>259</v>
      </c>
      <c r="B11" s="47" t="s">
        <v>264</v>
      </c>
      <c r="C11" s="512"/>
      <c r="D11" s="512"/>
      <c r="E11" s="512"/>
    </row>
    <row r="12" spans="1:5" s="42" customFormat="1" ht="12" customHeight="1">
      <c r="A12" s="46" t="s">
        <v>431</v>
      </c>
      <c r="B12" s="57" t="s">
        <v>432</v>
      </c>
      <c r="C12" s="512">
        <v>42000000</v>
      </c>
      <c r="D12" s="512">
        <v>42000000</v>
      </c>
      <c r="E12" s="512">
        <v>42000000</v>
      </c>
    </row>
    <row r="13" spans="1:5" s="42" customFormat="1" ht="12" customHeight="1">
      <c r="A13" s="46" t="s">
        <v>260</v>
      </c>
      <c r="B13" s="47" t="s">
        <v>265</v>
      </c>
      <c r="C13" s="512">
        <v>9000000</v>
      </c>
      <c r="D13" s="512">
        <v>9000000</v>
      </c>
      <c r="E13" s="512">
        <v>9000000</v>
      </c>
    </row>
    <row r="14" spans="1:5" s="42" customFormat="1" ht="12" customHeight="1">
      <c r="A14" s="46" t="s">
        <v>261</v>
      </c>
      <c r="B14" s="47" t="s">
        <v>266</v>
      </c>
      <c r="C14" s="512">
        <v>27500000</v>
      </c>
      <c r="D14" s="512">
        <v>27500000</v>
      </c>
      <c r="E14" s="512">
        <v>27500000</v>
      </c>
    </row>
    <row r="15" spans="1:5" s="42" customFormat="1" ht="12" customHeight="1" thickBot="1">
      <c r="A15" s="50" t="s">
        <v>262</v>
      </c>
      <c r="B15" s="54" t="s">
        <v>267</v>
      </c>
      <c r="C15" s="513">
        <v>200000</v>
      </c>
      <c r="D15" s="513">
        <v>200000</v>
      </c>
      <c r="E15" s="513">
        <v>200000</v>
      </c>
    </row>
    <row r="16" spans="1:5" s="42" customFormat="1" ht="12" customHeight="1" thickBot="1">
      <c r="A16" s="39" t="s">
        <v>18</v>
      </c>
      <c r="B16" s="40" t="s">
        <v>525</v>
      </c>
      <c r="C16" s="509">
        <v>130000000</v>
      </c>
      <c r="D16" s="509">
        <v>130000000</v>
      </c>
      <c r="E16" s="509">
        <v>130000000</v>
      </c>
    </row>
    <row r="17" spans="1:6" s="42" customFormat="1" ht="12" customHeight="1" thickBot="1">
      <c r="A17" s="39" t="s">
        <v>19</v>
      </c>
      <c r="B17" s="40" t="s">
        <v>8</v>
      </c>
      <c r="C17" s="509"/>
      <c r="D17" s="509"/>
      <c r="E17" s="509"/>
    </row>
    <row r="18" spans="1:6" s="42" customFormat="1" ht="12" customHeight="1" thickBot="1">
      <c r="A18" s="39" t="s">
        <v>169</v>
      </c>
      <c r="B18" s="40" t="s">
        <v>524</v>
      </c>
      <c r="C18" s="509"/>
      <c r="D18" s="509"/>
      <c r="E18" s="509"/>
    </row>
    <row r="19" spans="1:6" s="42" customFormat="1" ht="12" customHeight="1" thickBot="1">
      <c r="A19" s="39" t="s">
        <v>21</v>
      </c>
      <c r="B19" s="52" t="s">
        <v>523</v>
      </c>
      <c r="C19" s="509"/>
      <c r="D19" s="509"/>
      <c r="E19" s="509"/>
    </row>
    <row r="20" spans="1:6" s="42" customFormat="1" ht="12" customHeight="1" thickBot="1">
      <c r="A20" s="39" t="s">
        <v>22</v>
      </c>
      <c r="B20" s="40" t="s">
        <v>300</v>
      </c>
      <c r="C20" s="510">
        <f>+C5+C6+C7+C8+C16+C17+C18+C19</f>
        <v>527700000</v>
      </c>
      <c r="D20" s="510">
        <f>+D5+D6+D7+D8+D16+D17+D18+D19</f>
        <v>527700000</v>
      </c>
      <c r="E20" s="510">
        <f>+E5+E6+E7+E8+E16+E17+E18+E19</f>
        <v>527700000</v>
      </c>
    </row>
    <row r="21" spans="1:6" s="42" customFormat="1" ht="12" customHeight="1" thickBot="1">
      <c r="A21" s="39" t="s">
        <v>23</v>
      </c>
      <c r="B21" s="40" t="s">
        <v>526</v>
      </c>
      <c r="C21" s="514"/>
      <c r="D21" s="514"/>
      <c r="E21" s="514"/>
    </row>
    <row r="22" spans="1:6" s="42" customFormat="1" ht="12" customHeight="1" thickBot="1">
      <c r="A22" s="39" t="s">
        <v>24</v>
      </c>
      <c r="B22" s="40" t="s">
        <v>527</v>
      </c>
      <c r="C22" s="510">
        <f>+C20+C21</f>
        <v>527700000</v>
      </c>
      <c r="D22" s="510">
        <f>+D20+D21</f>
        <v>527700000</v>
      </c>
      <c r="E22" s="510">
        <f>+E20+E21</f>
        <v>527700000</v>
      </c>
    </row>
    <row r="23" spans="1:6" s="42" customFormat="1" ht="12" customHeight="1">
      <c r="A23" s="386"/>
      <c r="B23" s="387"/>
      <c r="C23" s="515"/>
      <c r="D23" s="515"/>
      <c r="E23" s="515"/>
    </row>
    <row r="24" spans="1:6" s="42" customFormat="1" ht="12" customHeight="1">
      <c r="A24" s="778" t="s">
        <v>42</v>
      </c>
      <c r="B24" s="778"/>
      <c r="C24" s="778"/>
      <c r="D24" s="778"/>
      <c r="E24" s="778"/>
    </row>
    <row r="25" spans="1:6" s="42" customFormat="1" ht="12" customHeight="1" thickBot="1">
      <c r="A25" s="780" t="s">
        <v>143</v>
      </c>
      <c r="B25" s="780"/>
      <c r="C25" s="508"/>
      <c r="D25" s="508"/>
      <c r="E25" s="508"/>
    </row>
    <row r="26" spans="1:6" s="42" customFormat="1" ht="24" customHeight="1" thickBot="1">
      <c r="A26" s="34" t="s">
        <v>12</v>
      </c>
      <c r="B26" s="35" t="s">
        <v>43</v>
      </c>
      <c r="C26" s="35" t="str">
        <f>+C3</f>
        <v>2020. évi</v>
      </c>
      <c r="D26" s="35" t="str">
        <f>+D3</f>
        <v>2021. évi</v>
      </c>
      <c r="E26" s="35" t="str">
        <f>+E3</f>
        <v>2022. évi</v>
      </c>
      <c r="F26" s="388"/>
    </row>
    <row r="27" spans="1:6" s="42" customFormat="1" ht="12" customHeight="1" thickBot="1">
      <c r="A27" s="36" t="s">
        <v>483</v>
      </c>
      <c r="B27" s="37" t="s">
        <v>484</v>
      </c>
      <c r="C27" s="37" t="s">
        <v>485</v>
      </c>
      <c r="D27" s="37" t="s">
        <v>485</v>
      </c>
      <c r="E27" s="37" t="s">
        <v>485</v>
      </c>
      <c r="F27" s="388"/>
    </row>
    <row r="28" spans="1:6" s="42" customFormat="1" ht="15" customHeight="1" thickBot="1">
      <c r="A28" s="39" t="s">
        <v>14</v>
      </c>
      <c r="B28" s="101" t="s">
        <v>528</v>
      </c>
      <c r="C28" s="509">
        <v>328100000</v>
      </c>
      <c r="D28" s="509">
        <v>328100000</v>
      </c>
      <c r="E28" s="509">
        <v>328100000</v>
      </c>
      <c r="F28" s="388"/>
    </row>
    <row r="29" spans="1:6" ht="12" customHeight="1" thickBot="1">
      <c r="A29" s="90" t="s">
        <v>15</v>
      </c>
      <c r="B29" s="389" t="s">
        <v>533</v>
      </c>
      <c r="C29" s="516">
        <f>C30+C31+C32</f>
        <v>15600000</v>
      </c>
      <c r="D29" s="516">
        <f>D30+D31+D32</f>
        <v>15600000</v>
      </c>
      <c r="E29" s="516">
        <f>E30+E31+E32</f>
        <v>15600000</v>
      </c>
    </row>
    <row r="30" spans="1:6" ht="12" customHeight="1">
      <c r="A30" s="43" t="s">
        <v>99</v>
      </c>
      <c r="B30" s="16" t="s">
        <v>217</v>
      </c>
      <c r="C30" s="517">
        <v>10000000</v>
      </c>
      <c r="D30" s="517">
        <v>10000000</v>
      </c>
      <c r="E30" s="517">
        <v>10000000</v>
      </c>
    </row>
    <row r="31" spans="1:6" ht="12" customHeight="1">
      <c r="A31" s="43" t="s">
        <v>100</v>
      </c>
      <c r="B31" s="92" t="s">
        <v>176</v>
      </c>
      <c r="C31" s="512">
        <v>5000000</v>
      </c>
      <c r="D31" s="512">
        <v>5000000</v>
      </c>
      <c r="E31" s="512">
        <v>5000000</v>
      </c>
    </row>
    <row r="32" spans="1:6" ht="12" customHeight="1" thickBot="1">
      <c r="A32" s="43" t="s">
        <v>101</v>
      </c>
      <c r="B32" s="51" t="s">
        <v>219</v>
      </c>
      <c r="C32" s="512">
        <v>600000</v>
      </c>
      <c r="D32" s="512">
        <v>600000</v>
      </c>
      <c r="E32" s="512">
        <v>600000</v>
      </c>
    </row>
    <row r="33" spans="1:6" ht="12" customHeight="1" thickBot="1">
      <c r="A33" s="39" t="s">
        <v>16</v>
      </c>
      <c r="B33" s="19" t="s">
        <v>444</v>
      </c>
      <c r="C33" s="518">
        <f>+C28+C29</f>
        <v>343700000</v>
      </c>
      <c r="D33" s="518">
        <f>+D28+D29</f>
        <v>343700000</v>
      </c>
      <c r="E33" s="518">
        <f>+E28+E29</f>
        <v>343700000</v>
      </c>
    </row>
    <row r="34" spans="1:6" ht="15" customHeight="1" thickBot="1">
      <c r="A34" s="39" t="s">
        <v>17</v>
      </c>
      <c r="B34" s="19" t="s">
        <v>529</v>
      </c>
      <c r="C34" s="519">
        <v>184000000</v>
      </c>
      <c r="D34" s="519">
        <v>184000000</v>
      </c>
      <c r="E34" s="519">
        <v>184000000</v>
      </c>
      <c r="F34" s="98"/>
    </row>
    <row r="35" spans="1:6" s="42" customFormat="1" ht="12.95" customHeight="1" thickBot="1">
      <c r="A35" s="99" t="s">
        <v>18</v>
      </c>
      <c r="B35" s="100" t="s">
        <v>530</v>
      </c>
      <c r="C35" s="520">
        <f>+C33+C34</f>
        <v>527700000</v>
      </c>
      <c r="D35" s="520">
        <f>+D33+D34</f>
        <v>527700000</v>
      </c>
      <c r="E35" s="520">
        <f>+E33+E34</f>
        <v>527700000</v>
      </c>
    </row>
    <row r="36" spans="1:6">
      <c r="C36" s="33"/>
      <c r="D36" s="33"/>
      <c r="E36" s="33"/>
    </row>
    <row r="37" spans="1:6">
      <c r="C37" s="33"/>
      <c r="D37" s="33"/>
      <c r="E37" s="33"/>
    </row>
    <row r="38" spans="1:6">
      <c r="C38" s="33"/>
      <c r="D38" s="33"/>
      <c r="E38" s="33"/>
    </row>
    <row r="39" spans="1:6" ht="16.5" customHeight="1">
      <c r="C39" s="33"/>
      <c r="D39" s="33"/>
      <c r="E39" s="33"/>
    </row>
    <row r="40" spans="1:6">
      <c r="C40" s="33"/>
      <c r="D40" s="33"/>
      <c r="E40" s="33"/>
    </row>
    <row r="41" spans="1:6">
      <c r="C41" s="33"/>
      <c r="D41" s="33"/>
      <c r="E41" s="33"/>
    </row>
    <row r="42" spans="1:6">
      <c r="C42" s="33"/>
      <c r="D42" s="33"/>
      <c r="E42" s="33"/>
    </row>
    <row r="43" spans="1:6">
      <c r="C43" s="33"/>
      <c r="D43" s="33"/>
      <c r="E43" s="33"/>
    </row>
    <row r="44" spans="1:6">
      <c r="C44" s="33"/>
      <c r="D44" s="33"/>
      <c r="E44" s="33"/>
    </row>
    <row r="45" spans="1:6">
      <c r="C45" s="33"/>
      <c r="D45" s="33"/>
      <c r="E45" s="33"/>
    </row>
    <row r="46" spans="1:6">
      <c r="C46" s="33"/>
      <c r="D46" s="33"/>
      <c r="E46" s="33"/>
    </row>
    <row r="47" spans="1:6">
      <c r="C47" s="33"/>
      <c r="D47" s="33"/>
      <c r="E47" s="33"/>
    </row>
    <row r="48" spans="1:6">
      <c r="C48" s="33"/>
      <c r="D48" s="33"/>
      <c r="E48" s="33"/>
    </row>
  </sheetData>
  <mergeCells count="4">
    <mergeCell ref="A1:E1"/>
    <mergeCell ref="A2:B2"/>
    <mergeCell ref="A24:E24"/>
    <mergeCell ref="A25:B25"/>
  </mergeCells>
  <phoneticPr fontId="6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78" fitToWidth="3" fitToHeight="2" orientation="portrait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FFC000"/>
  </sheetPr>
  <dimension ref="A1:C159"/>
  <sheetViews>
    <sheetView view="pageLayout" zoomScaleNormal="100" zoomScaleSheetLayoutView="100" workbookViewId="0">
      <selection activeCell="B36" sqref="B36"/>
    </sheetView>
  </sheetViews>
  <sheetFormatPr defaultRowHeight="15.75"/>
  <cols>
    <col min="1" max="1" width="9.5" style="33" customWidth="1"/>
    <col min="2" max="2" width="91.6640625" style="33" customWidth="1"/>
    <col min="3" max="3" width="21.6640625" style="508" customWidth="1"/>
    <col min="4" max="16384" width="9.33203125" style="33"/>
  </cols>
  <sheetData>
    <row r="1" spans="1:3">
      <c r="B1" s="391" t="s">
        <v>645</v>
      </c>
    </row>
    <row r="2" spans="1:3">
      <c r="B2" s="391" t="s">
        <v>693</v>
      </c>
    </row>
    <row r="3" spans="1:3">
      <c r="B3" s="394" t="s">
        <v>648</v>
      </c>
    </row>
    <row r="5" spans="1:3" ht="15.95" customHeight="1">
      <c r="A5" s="778" t="s">
        <v>11</v>
      </c>
      <c r="B5" s="778"/>
      <c r="C5" s="33"/>
    </row>
    <row r="6" spans="1:3" ht="15.95" customHeight="1" thickBot="1">
      <c r="A6" s="779" t="s">
        <v>142</v>
      </c>
      <c r="B6" s="779"/>
      <c r="C6" s="562" t="s">
        <v>581</v>
      </c>
    </row>
    <row r="7" spans="1:3" ht="38.1" customHeight="1" thickBot="1">
      <c r="A7" s="34" t="s">
        <v>64</v>
      </c>
      <c r="B7" s="35" t="s">
        <v>13</v>
      </c>
      <c r="C7" s="693" t="s">
        <v>692</v>
      </c>
    </row>
    <row r="8" spans="1:3" s="38" customFormat="1" ht="12" customHeight="1" thickBot="1">
      <c r="A8" s="36" t="s">
        <v>483</v>
      </c>
      <c r="B8" s="37" t="s">
        <v>484</v>
      </c>
      <c r="C8" s="646" t="s">
        <v>485</v>
      </c>
    </row>
    <row r="9" spans="1:3" s="42" customFormat="1" ht="12" customHeight="1" thickBot="1">
      <c r="A9" s="39" t="s">
        <v>14</v>
      </c>
      <c r="B9" s="40" t="s">
        <v>241</v>
      </c>
      <c r="C9" s="41">
        <f>+C10+C11+C12+C13+C14+C15</f>
        <v>0</v>
      </c>
    </row>
    <row r="10" spans="1:3" s="42" customFormat="1" ht="12" customHeight="1">
      <c r="A10" s="43" t="s">
        <v>93</v>
      </c>
      <c r="B10" s="44" t="s">
        <v>242</v>
      </c>
      <c r="C10" s="45"/>
    </row>
    <row r="11" spans="1:3" s="42" customFormat="1" ht="12" customHeight="1">
      <c r="A11" s="46" t="s">
        <v>94</v>
      </c>
      <c r="B11" s="47" t="s">
        <v>243</v>
      </c>
      <c r="C11" s="48"/>
    </row>
    <row r="12" spans="1:3" s="42" customFormat="1" ht="12" customHeight="1">
      <c r="A12" s="46" t="s">
        <v>95</v>
      </c>
      <c r="B12" s="47" t="s">
        <v>244</v>
      </c>
      <c r="C12" s="48"/>
    </row>
    <row r="13" spans="1:3" s="42" customFormat="1" ht="12" customHeight="1">
      <c r="A13" s="46" t="s">
        <v>96</v>
      </c>
      <c r="B13" s="47" t="s">
        <v>245</v>
      </c>
      <c r="C13" s="48"/>
    </row>
    <row r="14" spans="1:3" s="42" customFormat="1" ht="12" customHeight="1">
      <c r="A14" s="46" t="s">
        <v>139</v>
      </c>
      <c r="B14" s="49" t="s">
        <v>426</v>
      </c>
      <c r="C14" s="48"/>
    </row>
    <row r="15" spans="1:3" s="42" customFormat="1" ht="12" customHeight="1" thickBot="1">
      <c r="A15" s="50" t="s">
        <v>97</v>
      </c>
      <c r="B15" s="51" t="s">
        <v>427</v>
      </c>
      <c r="C15" s="48"/>
    </row>
    <row r="16" spans="1:3" s="42" customFormat="1" ht="12" customHeight="1" thickBot="1">
      <c r="A16" s="39" t="s">
        <v>15</v>
      </c>
      <c r="B16" s="52" t="s">
        <v>246</v>
      </c>
      <c r="C16" s="41">
        <f>+C17+C18+C19+C20+C21</f>
        <v>0</v>
      </c>
    </row>
    <row r="17" spans="1:3" s="42" customFormat="1" ht="12" customHeight="1">
      <c r="A17" s="43" t="s">
        <v>99</v>
      </c>
      <c r="B17" s="44" t="s">
        <v>247</v>
      </c>
      <c r="C17" s="45"/>
    </row>
    <row r="18" spans="1:3" s="42" customFormat="1" ht="12" customHeight="1">
      <c r="A18" s="46" t="s">
        <v>100</v>
      </c>
      <c r="B18" s="47" t="s">
        <v>248</v>
      </c>
      <c r="C18" s="48"/>
    </row>
    <row r="19" spans="1:3" s="42" customFormat="1" ht="12" customHeight="1">
      <c r="A19" s="46" t="s">
        <v>101</v>
      </c>
      <c r="B19" s="47" t="s">
        <v>416</v>
      </c>
      <c r="C19" s="48"/>
    </row>
    <row r="20" spans="1:3" s="42" customFormat="1" ht="12" customHeight="1">
      <c r="A20" s="46" t="s">
        <v>102</v>
      </c>
      <c r="B20" s="47" t="s">
        <v>417</v>
      </c>
      <c r="C20" s="48"/>
    </row>
    <row r="21" spans="1:3" s="42" customFormat="1" ht="12" customHeight="1">
      <c r="A21" s="46" t="s">
        <v>103</v>
      </c>
      <c r="B21" s="47" t="s">
        <v>249</v>
      </c>
      <c r="C21" s="48"/>
    </row>
    <row r="22" spans="1:3" s="42" customFormat="1" ht="12" customHeight="1" thickBot="1">
      <c r="A22" s="50" t="s">
        <v>112</v>
      </c>
      <c r="B22" s="51" t="s">
        <v>250</v>
      </c>
      <c r="C22" s="53"/>
    </row>
    <row r="23" spans="1:3" s="42" customFormat="1" ht="12" customHeight="1" thickBot="1">
      <c r="A23" s="39" t="s">
        <v>16</v>
      </c>
      <c r="B23" s="40" t="s">
        <v>251</v>
      </c>
      <c r="C23" s="41">
        <f>+C24+C25+C26+C27+C28</f>
        <v>0</v>
      </c>
    </row>
    <row r="24" spans="1:3" s="42" customFormat="1" ht="12" customHeight="1">
      <c r="A24" s="43" t="s">
        <v>82</v>
      </c>
      <c r="B24" s="44" t="s">
        <v>252</v>
      </c>
      <c r="C24" s="45"/>
    </row>
    <row r="25" spans="1:3" s="42" customFormat="1" ht="12" customHeight="1">
      <c r="A25" s="46" t="s">
        <v>83</v>
      </c>
      <c r="B25" s="47" t="s">
        <v>253</v>
      </c>
      <c r="C25" s="48"/>
    </row>
    <row r="26" spans="1:3" s="42" customFormat="1" ht="12" customHeight="1">
      <c r="A26" s="46" t="s">
        <v>84</v>
      </c>
      <c r="B26" s="47" t="s">
        <v>418</v>
      </c>
      <c r="C26" s="48"/>
    </row>
    <row r="27" spans="1:3" s="42" customFormat="1" ht="12" customHeight="1">
      <c r="A27" s="46" t="s">
        <v>85</v>
      </c>
      <c r="B27" s="47" t="s">
        <v>419</v>
      </c>
      <c r="C27" s="48"/>
    </row>
    <row r="28" spans="1:3" s="42" customFormat="1" ht="12" customHeight="1">
      <c r="A28" s="46" t="s">
        <v>160</v>
      </c>
      <c r="B28" s="47" t="s">
        <v>254</v>
      </c>
      <c r="C28" s="48"/>
    </row>
    <row r="29" spans="1:3" s="42" customFormat="1" ht="12" customHeight="1" thickBot="1">
      <c r="A29" s="50" t="s">
        <v>161</v>
      </c>
      <c r="B29" s="54" t="s">
        <v>255</v>
      </c>
      <c r="C29" s="53"/>
    </row>
    <row r="30" spans="1:3" s="42" customFormat="1" ht="12" customHeight="1" thickBot="1">
      <c r="A30" s="39" t="s">
        <v>162</v>
      </c>
      <c r="B30" s="40" t="s">
        <v>256</v>
      </c>
      <c r="C30" s="55">
        <f>+C31+C35+C36+C37</f>
        <v>0</v>
      </c>
    </row>
    <row r="31" spans="1:3" s="42" customFormat="1" ht="12" customHeight="1">
      <c r="A31" s="43" t="s">
        <v>257</v>
      </c>
      <c r="B31" s="44" t="s">
        <v>433</v>
      </c>
      <c r="C31" s="56">
        <f>+C32+C33+C34</f>
        <v>0</v>
      </c>
    </row>
    <row r="32" spans="1:3" s="42" customFormat="1" ht="12" customHeight="1">
      <c r="A32" s="46" t="s">
        <v>258</v>
      </c>
      <c r="B32" s="47" t="s">
        <v>263</v>
      </c>
      <c r="C32" s="48"/>
    </row>
    <row r="33" spans="1:3" s="42" customFormat="1" ht="12" customHeight="1">
      <c r="A33" s="46" t="s">
        <v>259</v>
      </c>
      <c r="B33" s="47" t="s">
        <v>264</v>
      </c>
      <c r="C33" s="48"/>
    </row>
    <row r="34" spans="1:3" s="42" customFormat="1" ht="12" customHeight="1">
      <c r="A34" s="46" t="s">
        <v>431</v>
      </c>
      <c r="B34" s="57" t="s">
        <v>432</v>
      </c>
      <c r="C34" s="48"/>
    </row>
    <row r="35" spans="1:3" s="42" customFormat="1" ht="12" customHeight="1">
      <c r="A35" s="46" t="s">
        <v>260</v>
      </c>
      <c r="B35" s="47" t="s">
        <v>265</v>
      </c>
      <c r="C35" s="48"/>
    </row>
    <row r="36" spans="1:3" s="42" customFormat="1" ht="12" customHeight="1">
      <c r="A36" s="46" t="s">
        <v>261</v>
      </c>
      <c r="B36" s="47" t="s">
        <v>266</v>
      </c>
      <c r="C36" s="48"/>
    </row>
    <row r="37" spans="1:3" s="42" customFormat="1" ht="12" customHeight="1" thickBot="1">
      <c r="A37" s="50" t="s">
        <v>262</v>
      </c>
      <c r="B37" s="54" t="s">
        <v>267</v>
      </c>
      <c r="C37" s="53"/>
    </row>
    <row r="38" spans="1:3" s="42" customFormat="1" ht="12" customHeight="1" thickBot="1">
      <c r="A38" s="39" t="s">
        <v>18</v>
      </c>
      <c r="B38" s="40" t="s">
        <v>428</v>
      </c>
      <c r="C38" s="41">
        <f>SUM(C39:C49)</f>
        <v>0</v>
      </c>
    </row>
    <row r="39" spans="1:3" s="42" customFormat="1" ht="12" customHeight="1">
      <c r="A39" s="43" t="s">
        <v>86</v>
      </c>
      <c r="B39" s="44" t="s">
        <v>270</v>
      </c>
      <c r="C39" s="45"/>
    </row>
    <row r="40" spans="1:3" s="42" customFormat="1" ht="12" customHeight="1">
      <c r="A40" s="46" t="s">
        <v>87</v>
      </c>
      <c r="B40" s="47" t="s">
        <v>271</v>
      </c>
      <c r="C40" s="48"/>
    </row>
    <row r="41" spans="1:3" s="42" customFormat="1" ht="12" customHeight="1">
      <c r="A41" s="46" t="s">
        <v>88</v>
      </c>
      <c r="B41" s="47" t="s">
        <v>272</v>
      </c>
      <c r="C41" s="48"/>
    </row>
    <row r="42" spans="1:3" s="42" customFormat="1" ht="12" customHeight="1">
      <c r="A42" s="46" t="s">
        <v>164</v>
      </c>
      <c r="B42" s="47" t="s">
        <v>273</v>
      </c>
      <c r="C42" s="48"/>
    </row>
    <row r="43" spans="1:3" s="42" customFormat="1" ht="12" customHeight="1">
      <c r="A43" s="46" t="s">
        <v>165</v>
      </c>
      <c r="B43" s="47" t="s">
        <v>274</v>
      </c>
      <c r="C43" s="48"/>
    </row>
    <row r="44" spans="1:3" s="42" customFormat="1" ht="12" customHeight="1">
      <c r="A44" s="46" t="s">
        <v>166</v>
      </c>
      <c r="B44" s="47" t="s">
        <v>275</v>
      </c>
      <c r="C44" s="48"/>
    </row>
    <row r="45" spans="1:3" s="42" customFormat="1" ht="12" customHeight="1">
      <c r="A45" s="46" t="s">
        <v>167</v>
      </c>
      <c r="B45" s="47" t="s">
        <v>276</v>
      </c>
      <c r="C45" s="48"/>
    </row>
    <row r="46" spans="1:3" s="42" customFormat="1" ht="12" customHeight="1">
      <c r="A46" s="46" t="s">
        <v>168</v>
      </c>
      <c r="B46" s="47" t="s">
        <v>277</v>
      </c>
      <c r="C46" s="48"/>
    </row>
    <row r="47" spans="1:3" s="42" customFormat="1" ht="12" customHeight="1">
      <c r="A47" s="46" t="s">
        <v>268</v>
      </c>
      <c r="B47" s="47" t="s">
        <v>278</v>
      </c>
      <c r="C47" s="58"/>
    </row>
    <row r="48" spans="1:3" s="42" customFormat="1" ht="12" customHeight="1">
      <c r="A48" s="50" t="s">
        <v>269</v>
      </c>
      <c r="B48" s="54" t="s">
        <v>430</v>
      </c>
      <c r="C48" s="59"/>
    </row>
    <row r="49" spans="1:3" s="42" customFormat="1" ht="12" customHeight="1" thickBot="1">
      <c r="A49" s="50" t="s">
        <v>429</v>
      </c>
      <c r="B49" s="51" t="s">
        <v>279</v>
      </c>
      <c r="C49" s="59"/>
    </row>
    <row r="50" spans="1:3" s="42" customFormat="1" ht="12" customHeight="1" thickBot="1">
      <c r="A50" s="39" t="s">
        <v>19</v>
      </c>
      <c r="B50" s="40" t="s">
        <v>280</v>
      </c>
      <c r="C50" s="41">
        <f>SUM(C51:C55)</f>
        <v>0</v>
      </c>
    </row>
    <row r="51" spans="1:3" s="42" customFormat="1" ht="12" customHeight="1">
      <c r="A51" s="43" t="s">
        <v>89</v>
      </c>
      <c r="B51" s="44" t="s">
        <v>284</v>
      </c>
      <c r="C51" s="60"/>
    </row>
    <row r="52" spans="1:3" s="42" customFormat="1" ht="12" customHeight="1">
      <c r="A52" s="46" t="s">
        <v>90</v>
      </c>
      <c r="B52" s="47" t="s">
        <v>285</v>
      </c>
      <c r="C52" s="58"/>
    </row>
    <row r="53" spans="1:3" s="42" customFormat="1" ht="12" customHeight="1">
      <c r="A53" s="46" t="s">
        <v>281</v>
      </c>
      <c r="B53" s="47" t="s">
        <v>286</v>
      </c>
      <c r="C53" s="58"/>
    </row>
    <row r="54" spans="1:3" s="42" customFormat="1" ht="12" customHeight="1">
      <c r="A54" s="46" t="s">
        <v>282</v>
      </c>
      <c r="B54" s="47" t="s">
        <v>287</v>
      </c>
      <c r="C54" s="58"/>
    </row>
    <row r="55" spans="1:3" s="42" customFormat="1" ht="12" customHeight="1" thickBot="1">
      <c r="A55" s="50" t="s">
        <v>283</v>
      </c>
      <c r="B55" s="51" t="s">
        <v>288</v>
      </c>
      <c r="C55" s="59"/>
    </row>
    <row r="56" spans="1:3" s="42" customFormat="1" ht="12" customHeight="1" thickBot="1">
      <c r="A56" s="39" t="s">
        <v>169</v>
      </c>
      <c r="B56" s="40" t="s">
        <v>289</v>
      </c>
      <c r="C56" s="41">
        <f>SUM(C57:C59)</f>
        <v>0</v>
      </c>
    </row>
    <row r="57" spans="1:3" s="42" customFormat="1" ht="12" customHeight="1">
      <c r="A57" s="43" t="s">
        <v>91</v>
      </c>
      <c r="B57" s="44" t="s">
        <v>290</v>
      </c>
      <c r="C57" s="45"/>
    </row>
    <row r="58" spans="1:3" s="42" customFormat="1" ht="12" customHeight="1">
      <c r="A58" s="46" t="s">
        <v>92</v>
      </c>
      <c r="B58" s="47" t="s">
        <v>420</v>
      </c>
      <c r="C58" s="48"/>
    </row>
    <row r="59" spans="1:3" s="42" customFormat="1" ht="12" customHeight="1">
      <c r="A59" s="46" t="s">
        <v>293</v>
      </c>
      <c r="B59" s="47" t="s">
        <v>291</v>
      </c>
      <c r="C59" s="48"/>
    </row>
    <row r="60" spans="1:3" s="42" customFormat="1" ht="12" customHeight="1" thickBot="1">
      <c r="A60" s="50" t="s">
        <v>294</v>
      </c>
      <c r="B60" s="51" t="s">
        <v>292</v>
      </c>
      <c r="C60" s="53"/>
    </row>
    <row r="61" spans="1:3" s="42" customFormat="1" ht="12" customHeight="1" thickBot="1">
      <c r="A61" s="39" t="s">
        <v>21</v>
      </c>
      <c r="B61" s="52" t="s">
        <v>295</v>
      </c>
      <c r="C61" s="41">
        <f>SUM(C62:C64)</f>
        <v>0</v>
      </c>
    </row>
    <row r="62" spans="1:3" s="42" customFormat="1" ht="12" customHeight="1">
      <c r="A62" s="43" t="s">
        <v>170</v>
      </c>
      <c r="B62" s="44" t="s">
        <v>297</v>
      </c>
      <c r="C62" s="58"/>
    </row>
    <row r="63" spans="1:3" s="42" customFormat="1" ht="12" customHeight="1">
      <c r="A63" s="46" t="s">
        <v>171</v>
      </c>
      <c r="B63" s="47" t="s">
        <v>421</v>
      </c>
      <c r="C63" s="58"/>
    </row>
    <row r="64" spans="1:3" s="42" customFormat="1" ht="12" customHeight="1">
      <c r="A64" s="46" t="s">
        <v>218</v>
      </c>
      <c r="B64" s="47" t="s">
        <v>298</v>
      </c>
      <c r="C64" s="58"/>
    </row>
    <row r="65" spans="1:3" s="42" customFormat="1" ht="12" customHeight="1" thickBot="1">
      <c r="A65" s="50" t="s">
        <v>296</v>
      </c>
      <c r="B65" s="51" t="s">
        <v>299</v>
      </c>
      <c r="C65" s="58"/>
    </row>
    <row r="66" spans="1:3" s="42" customFormat="1" ht="12" customHeight="1" thickBot="1">
      <c r="A66" s="61" t="s">
        <v>472</v>
      </c>
      <c r="B66" s="40" t="s">
        <v>300</v>
      </c>
      <c r="C66" s="55">
        <f>+C9+C16+C23+C30+C38+C50+C56+C61</f>
        <v>0</v>
      </c>
    </row>
    <row r="67" spans="1:3" s="42" customFormat="1" ht="12" customHeight="1" thickBot="1">
      <c r="A67" s="62" t="s">
        <v>301</v>
      </c>
      <c r="B67" s="52" t="s">
        <v>302</v>
      </c>
      <c r="C67" s="41">
        <f>SUM(C68:C70)</f>
        <v>0</v>
      </c>
    </row>
    <row r="68" spans="1:3" s="42" customFormat="1" ht="12" customHeight="1">
      <c r="A68" s="43" t="s">
        <v>333</v>
      </c>
      <c r="B68" s="44" t="s">
        <v>303</v>
      </c>
      <c r="C68" s="58"/>
    </row>
    <row r="69" spans="1:3" s="42" customFormat="1" ht="12" customHeight="1">
      <c r="A69" s="46" t="s">
        <v>342</v>
      </c>
      <c r="B69" s="47" t="s">
        <v>304</v>
      </c>
      <c r="C69" s="58"/>
    </row>
    <row r="70" spans="1:3" s="42" customFormat="1" ht="12" customHeight="1" thickBot="1">
      <c r="A70" s="50" t="s">
        <v>343</v>
      </c>
      <c r="B70" s="63" t="s">
        <v>457</v>
      </c>
      <c r="C70" s="58"/>
    </row>
    <row r="71" spans="1:3" s="42" customFormat="1" ht="12" customHeight="1" thickBot="1">
      <c r="A71" s="62" t="s">
        <v>306</v>
      </c>
      <c r="B71" s="52" t="s">
        <v>307</v>
      </c>
      <c r="C71" s="41">
        <f>SUM(C72:C75)</f>
        <v>0</v>
      </c>
    </row>
    <row r="72" spans="1:3" s="42" customFormat="1" ht="12" customHeight="1">
      <c r="A72" s="43" t="s">
        <v>140</v>
      </c>
      <c r="B72" s="44" t="s">
        <v>308</v>
      </c>
      <c r="C72" s="58"/>
    </row>
    <row r="73" spans="1:3" s="42" customFormat="1" ht="12" customHeight="1">
      <c r="A73" s="46" t="s">
        <v>141</v>
      </c>
      <c r="B73" s="47" t="s">
        <v>309</v>
      </c>
      <c r="C73" s="58"/>
    </row>
    <row r="74" spans="1:3" s="42" customFormat="1" ht="12" customHeight="1">
      <c r="A74" s="46" t="s">
        <v>334</v>
      </c>
      <c r="B74" s="47" t="s">
        <v>310</v>
      </c>
      <c r="C74" s="58"/>
    </row>
    <row r="75" spans="1:3" s="42" customFormat="1" ht="12" customHeight="1" thickBot="1">
      <c r="A75" s="50" t="s">
        <v>335</v>
      </c>
      <c r="B75" s="51" t="s">
        <v>311</v>
      </c>
      <c r="C75" s="58"/>
    </row>
    <row r="76" spans="1:3" s="42" customFormat="1" ht="12" customHeight="1" thickBot="1">
      <c r="A76" s="62" t="s">
        <v>312</v>
      </c>
      <c r="B76" s="52" t="s">
        <v>313</v>
      </c>
      <c r="C76" s="41">
        <f>SUM(C77:C78)</f>
        <v>0</v>
      </c>
    </row>
    <row r="77" spans="1:3" s="42" customFormat="1" ht="12" customHeight="1">
      <c r="A77" s="43" t="s">
        <v>336</v>
      </c>
      <c r="B77" s="44" t="s">
        <v>314</v>
      </c>
      <c r="C77" s="58"/>
    </row>
    <row r="78" spans="1:3" s="42" customFormat="1" ht="12" customHeight="1" thickBot="1">
      <c r="A78" s="50" t="s">
        <v>337</v>
      </c>
      <c r="B78" s="51" t="s">
        <v>315</v>
      </c>
      <c r="C78" s="58"/>
    </row>
    <row r="79" spans="1:3" s="42" customFormat="1" ht="12" customHeight="1" thickBot="1">
      <c r="A79" s="62" t="s">
        <v>316</v>
      </c>
      <c r="B79" s="52" t="s">
        <v>317</v>
      </c>
      <c r="C79" s="41">
        <f>SUM(C80:C82)</f>
        <v>0</v>
      </c>
    </row>
    <row r="80" spans="1:3" s="42" customFormat="1" ht="12" customHeight="1">
      <c r="A80" s="43" t="s">
        <v>338</v>
      </c>
      <c r="B80" s="44" t="s">
        <v>318</v>
      </c>
      <c r="C80" s="58"/>
    </row>
    <row r="81" spans="1:3" s="42" customFormat="1" ht="12" customHeight="1">
      <c r="A81" s="46" t="s">
        <v>339</v>
      </c>
      <c r="B81" s="47" t="s">
        <v>319</v>
      </c>
      <c r="C81" s="58"/>
    </row>
    <row r="82" spans="1:3" s="42" customFormat="1" ht="12" customHeight="1" thickBot="1">
      <c r="A82" s="50" t="s">
        <v>340</v>
      </c>
      <c r="B82" s="51" t="s">
        <v>320</v>
      </c>
      <c r="C82" s="58"/>
    </row>
    <row r="83" spans="1:3" s="42" customFormat="1" ht="12" customHeight="1" thickBot="1">
      <c r="A83" s="62" t="s">
        <v>321</v>
      </c>
      <c r="B83" s="52" t="s">
        <v>341</v>
      </c>
      <c r="C83" s="41">
        <f>SUM(C84:C87)</f>
        <v>0</v>
      </c>
    </row>
    <row r="84" spans="1:3" s="42" customFormat="1" ht="12" customHeight="1">
      <c r="A84" s="64" t="s">
        <v>322</v>
      </c>
      <c r="B84" s="44" t="s">
        <v>323</v>
      </c>
      <c r="C84" s="58"/>
    </row>
    <row r="85" spans="1:3" s="42" customFormat="1" ht="12" customHeight="1">
      <c r="A85" s="65" t="s">
        <v>324</v>
      </c>
      <c r="B85" s="47" t="s">
        <v>325</v>
      </c>
      <c r="C85" s="58"/>
    </row>
    <row r="86" spans="1:3" s="42" customFormat="1" ht="12" customHeight="1">
      <c r="A86" s="65" t="s">
        <v>326</v>
      </c>
      <c r="B86" s="47" t="s">
        <v>327</v>
      </c>
      <c r="C86" s="58"/>
    </row>
    <row r="87" spans="1:3" s="42" customFormat="1" ht="12" customHeight="1" thickBot="1">
      <c r="A87" s="66" t="s">
        <v>328</v>
      </c>
      <c r="B87" s="51" t="s">
        <v>329</v>
      </c>
      <c r="C87" s="58"/>
    </row>
    <row r="88" spans="1:3" s="42" customFormat="1" ht="12" customHeight="1" thickBot="1">
      <c r="A88" s="62" t="s">
        <v>330</v>
      </c>
      <c r="B88" s="52" t="s">
        <v>471</v>
      </c>
      <c r="C88" s="67"/>
    </row>
    <row r="89" spans="1:3" s="42" customFormat="1" ht="13.5" customHeight="1" thickBot="1">
      <c r="A89" s="62" t="s">
        <v>332</v>
      </c>
      <c r="B89" s="52" t="s">
        <v>331</v>
      </c>
      <c r="C89" s="67"/>
    </row>
    <row r="90" spans="1:3" s="42" customFormat="1" ht="15.75" customHeight="1" thickBot="1">
      <c r="A90" s="62" t="s">
        <v>344</v>
      </c>
      <c r="B90" s="68" t="s">
        <v>474</v>
      </c>
      <c r="C90" s="55">
        <f>+C67+C71+C76+C79+C83+C89+C88</f>
        <v>0</v>
      </c>
    </row>
    <row r="91" spans="1:3" s="42" customFormat="1" ht="16.5" customHeight="1" thickBot="1">
      <c r="A91" s="69" t="s">
        <v>473</v>
      </c>
      <c r="B91" s="70" t="s">
        <v>475</v>
      </c>
      <c r="C91" s="55">
        <f>+C66+C90</f>
        <v>0</v>
      </c>
    </row>
    <row r="92" spans="1:3" s="42" customFormat="1" ht="83.25" customHeight="1">
      <c r="A92" s="71"/>
      <c r="B92" s="72"/>
      <c r="C92" s="647"/>
    </row>
    <row r="93" spans="1:3" ht="16.5" customHeight="1">
      <c r="A93" s="778" t="s">
        <v>42</v>
      </c>
      <c r="B93" s="778"/>
      <c r="C93" s="33"/>
    </row>
    <row r="94" spans="1:3" s="73" customFormat="1" ht="16.5" customHeight="1" thickBot="1">
      <c r="A94" s="780" t="s">
        <v>143</v>
      </c>
      <c r="B94" s="780"/>
      <c r="C94" s="642" t="s">
        <v>664</v>
      </c>
    </row>
    <row r="95" spans="1:3" ht="38.1" customHeight="1" thickBot="1">
      <c r="A95" s="34" t="s">
        <v>64</v>
      </c>
      <c r="B95" s="35" t="s">
        <v>43</v>
      </c>
      <c r="C95" s="693" t="s">
        <v>692</v>
      </c>
    </row>
    <row r="96" spans="1:3" s="38" customFormat="1" ht="12" customHeight="1" thickBot="1">
      <c r="A96" s="74" t="s">
        <v>483</v>
      </c>
      <c r="B96" s="75" t="s">
        <v>484</v>
      </c>
      <c r="C96" s="648" t="s">
        <v>485</v>
      </c>
    </row>
    <row r="97" spans="1:3" ht="12" customHeight="1" thickBot="1">
      <c r="A97" s="76" t="s">
        <v>14</v>
      </c>
      <c r="B97" s="77" t="s">
        <v>625</v>
      </c>
      <c r="C97" s="78">
        <f>C98+C99+C100+C101+C102+C115</f>
        <v>0</v>
      </c>
    </row>
    <row r="98" spans="1:3" ht="12" customHeight="1">
      <c r="A98" s="79" t="s">
        <v>93</v>
      </c>
      <c r="B98" s="15" t="s">
        <v>44</v>
      </c>
      <c r="C98" s="80"/>
    </row>
    <row r="99" spans="1:3" ht="12" customHeight="1">
      <c r="A99" s="46" t="s">
        <v>94</v>
      </c>
      <c r="B99" s="16" t="s">
        <v>172</v>
      </c>
      <c r="C99" s="48"/>
    </row>
    <row r="100" spans="1:3" ht="12" customHeight="1">
      <c r="A100" s="46" t="s">
        <v>95</v>
      </c>
      <c r="B100" s="16" t="s">
        <v>131</v>
      </c>
      <c r="C100" s="53"/>
    </row>
    <row r="101" spans="1:3" ht="12" customHeight="1">
      <c r="A101" s="46" t="s">
        <v>96</v>
      </c>
      <c r="B101" s="81" t="s">
        <v>173</v>
      </c>
      <c r="C101" s="53"/>
    </row>
    <row r="102" spans="1:3" ht="12" customHeight="1">
      <c r="A102" s="46" t="s">
        <v>107</v>
      </c>
      <c r="B102" s="82" t="s">
        <v>174</v>
      </c>
      <c r="C102" s="53"/>
    </row>
    <row r="103" spans="1:3" ht="12" customHeight="1">
      <c r="A103" s="46" t="s">
        <v>97</v>
      </c>
      <c r="B103" s="16" t="s">
        <v>438</v>
      </c>
      <c r="C103" s="53"/>
    </row>
    <row r="104" spans="1:3" ht="12" customHeight="1">
      <c r="A104" s="46" t="s">
        <v>98</v>
      </c>
      <c r="B104" s="83" t="s">
        <v>437</v>
      </c>
      <c r="C104" s="53"/>
    </row>
    <row r="105" spans="1:3" ht="12" customHeight="1">
      <c r="A105" s="46" t="s">
        <v>108</v>
      </c>
      <c r="B105" s="83" t="s">
        <v>436</v>
      </c>
      <c r="C105" s="53"/>
    </row>
    <row r="106" spans="1:3" ht="12" customHeight="1">
      <c r="A106" s="46" t="s">
        <v>109</v>
      </c>
      <c r="B106" s="84" t="s">
        <v>347</v>
      </c>
      <c r="C106" s="53"/>
    </row>
    <row r="107" spans="1:3" ht="12" customHeight="1">
      <c r="A107" s="46" t="s">
        <v>110</v>
      </c>
      <c r="B107" s="85" t="s">
        <v>348</v>
      </c>
      <c r="C107" s="53"/>
    </row>
    <row r="108" spans="1:3" ht="12" customHeight="1">
      <c r="A108" s="46" t="s">
        <v>111</v>
      </c>
      <c r="B108" s="85" t="s">
        <v>349</v>
      </c>
      <c r="C108" s="53"/>
    </row>
    <row r="109" spans="1:3" ht="12" customHeight="1">
      <c r="A109" s="46" t="s">
        <v>113</v>
      </c>
      <c r="B109" s="84" t="s">
        <v>350</v>
      </c>
      <c r="C109" s="53"/>
    </row>
    <row r="110" spans="1:3" ht="12" customHeight="1">
      <c r="A110" s="46" t="s">
        <v>175</v>
      </c>
      <c r="B110" s="84" t="s">
        <v>351</v>
      </c>
      <c r="C110" s="53"/>
    </row>
    <row r="111" spans="1:3" ht="12" customHeight="1">
      <c r="A111" s="46" t="s">
        <v>345</v>
      </c>
      <c r="B111" s="85" t="s">
        <v>352</v>
      </c>
      <c r="C111" s="53"/>
    </row>
    <row r="112" spans="1:3" ht="12" customHeight="1">
      <c r="A112" s="86" t="s">
        <v>346</v>
      </c>
      <c r="B112" s="83" t="s">
        <v>353</v>
      </c>
      <c r="C112" s="53"/>
    </row>
    <row r="113" spans="1:3" ht="12" customHeight="1">
      <c r="A113" s="46" t="s">
        <v>434</v>
      </c>
      <c r="B113" s="83" t="s">
        <v>354</v>
      </c>
      <c r="C113" s="53"/>
    </row>
    <row r="114" spans="1:3" ht="12" customHeight="1">
      <c r="A114" s="50" t="s">
        <v>435</v>
      </c>
      <c r="B114" s="83" t="s">
        <v>355</v>
      </c>
      <c r="C114" s="53"/>
    </row>
    <row r="115" spans="1:3" ht="12" customHeight="1">
      <c r="A115" s="46" t="s">
        <v>439</v>
      </c>
      <c r="B115" s="81" t="s">
        <v>45</v>
      </c>
      <c r="C115" s="48"/>
    </row>
    <row r="116" spans="1:3" ht="12" customHeight="1">
      <c r="A116" s="46" t="s">
        <v>440</v>
      </c>
      <c r="B116" s="16" t="s">
        <v>442</v>
      </c>
      <c r="C116" s="48"/>
    </row>
    <row r="117" spans="1:3" ht="12" customHeight="1" thickBot="1">
      <c r="A117" s="87" t="s">
        <v>441</v>
      </c>
      <c r="B117" s="88" t="s">
        <v>443</v>
      </c>
      <c r="C117" s="89"/>
    </row>
    <row r="118" spans="1:3" ht="12" customHeight="1" thickBot="1">
      <c r="A118" s="90" t="s">
        <v>15</v>
      </c>
      <c r="B118" s="91" t="s">
        <v>626</v>
      </c>
      <c r="C118" s="649">
        <f>+C119+C121+C123</f>
        <v>0</v>
      </c>
    </row>
    <row r="119" spans="1:3" ht="12" customHeight="1">
      <c r="A119" s="43" t="s">
        <v>99</v>
      </c>
      <c r="B119" s="16" t="s">
        <v>217</v>
      </c>
      <c r="C119" s="45"/>
    </row>
    <row r="120" spans="1:3" ht="12" customHeight="1">
      <c r="A120" s="43" t="s">
        <v>100</v>
      </c>
      <c r="B120" s="92" t="s">
        <v>359</v>
      </c>
      <c r="C120" s="45"/>
    </row>
    <row r="121" spans="1:3" ht="12" customHeight="1">
      <c r="A121" s="43" t="s">
        <v>101</v>
      </c>
      <c r="B121" s="92" t="s">
        <v>176</v>
      </c>
      <c r="C121" s="48"/>
    </row>
    <row r="122" spans="1:3" ht="12" customHeight="1">
      <c r="A122" s="43" t="s">
        <v>102</v>
      </c>
      <c r="B122" s="92" t="s">
        <v>360</v>
      </c>
      <c r="C122" s="93"/>
    </row>
    <row r="123" spans="1:3" ht="12" customHeight="1">
      <c r="A123" s="43" t="s">
        <v>103</v>
      </c>
      <c r="B123" s="51" t="s">
        <v>219</v>
      </c>
      <c r="C123" s="93"/>
    </row>
    <row r="124" spans="1:3" ht="12" customHeight="1">
      <c r="A124" s="43" t="s">
        <v>112</v>
      </c>
      <c r="B124" s="49" t="s">
        <v>422</v>
      </c>
      <c r="C124" s="93"/>
    </row>
    <row r="125" spans="1:3" ht="12" customHeight="1">
      <c r="A125" s="43" t="s">
        <v>114</v>
      </c>
      <c r="B125" s="94" t="s">
        <v>365</v>
      </c>
      <c r="C125" s="93"/>
    </row>
    <row r="126" spans="1:3">
      <c r="A126" s="43" t="s">
        <v>177</v>
      </c>
      <c r="B126" s="85" t="s">
        <v>349</v>
      </c>
      <c r="C126" s="93"/>
    </row>
    <row r="127" spans="1:3" ht="12" customHeight="1">
      <c r="A127" s="43" t="s">
        <v>178</v>
      </c>
      <c r="B127" s="85" t="s">
        <v>364</v>
      </c>
      <c r="C127" s="93"/>
    </row>
    <row r="128" spans="1:3" ht="12" customHeight="1">
      <c r="A128" s="43" t="s">
        <v>179</v>
      </c>
      <c r="B128" s="85" t="s">
        <v>363</v>
      </c>
      <c r="C128" s="93"/>
    </row>
    <row r="129" spans="1:3" ht="12" customHeight="1">
      <c r="A129" s="43" t="s">
        <v>356</v>
      </c>
      <c r="B129" s="85" t="s">
        <v>352</v>
      </c>
      <c r="C129" s="93"/>
    </row>
    <row r="130" spans="1:3" ht="12" customHeight="1">
      <c r="A130" s="43" t="s">
        <v>357</v>
      </c>
      <c r="B130" s="85" t="s">
        <v>362</v>
      </c>
      <c r="C130" s="93"/>
    </row>
    <row r="131" spans="1:3" ht="16.5" thickBot="1">
      <c r="A131" s="86" t="s">
        <v>358</v>
      </c>
      <c r="B131" s="85" t="s">
        <v>361</v>
      </c>
      <c r="C131" s="95"/>
    </row>
    <row r="132" spans="1:3" ht="12" customHeight="1" thickBot="1">
      <c r="A132" s="39" t="s">
        <v>16</v>
      </c>
      <c r="B132" s="19" t="s">
        <v>444</v>
      </c>
      <c r="C132" s="41">
        <f>+C97+C118</f>
        <v>0</v>
      </c>
    </row>
    <row r="133" spans="1:3" ht="12" customHeight="1" thickBot="1">
      <c r="A133" s="39" t="s">
        <v>17</v>
      </c>
      <c r="B133" s="19" t="s">
        <v>445</v>
      </c>
      <c r="C133" s="41">
        <f>+C134+C135+C136</f>
        <v>0</v>
      </c>
    </row>
    <row r="134" spans="1:3" ht="12" customHeight="1">
      <c r="A134" s="43" t="s">
        <v>257</v>
      </c>
      <c r="B134" s="92" t="s">
        <v>452</v>
      </c>
      <c r="C134" s="93"/>
    </row>
    <row r="135" spans="1:3" ht="12" customHeight="1">
      <c r="A135" s="43" t="s">
        <v>260</v>
      </c>
      <c r="B135" s="92" t="s">
        <v>453</v>
      </c>
      <c r="C135" s="93"/>
    </row>
    <row r="136" spans="1:3" ht="12" customHeight="1" thickBot="1">
      <c r="A136" s="86" t="s">
        <v>261</v>
      </c>
      <c r="B136" s="92" t="s">
        <v>454</v>
      </c>
      <c r="C136" s="93"/>
    </row>
    <row r="137" spans="1:3" ht="12" customHeight="1" thickBot="1">
      <c r="A137" s="39" t="s">
        <v>18</v>
      </c>
      <c r="B137" s="19" t="s">
        <v>446</v>
      </c>
      <c r="C137" s="41">
        <f>SUM(C138:C143)</f>
        <v>0</v>
      </c>
    </row>
    <row r="138" spans="1:3" ht="12" customHeight="1">
      <c r="A138" s="43" t="s">
        <v>86</v>
      </c>
      <c r="B138" s="18" t="s">
        <v>455</v>
      </c>
      <c r="C138" s="93"/>
    </row>
    <row r="139" spans="1:3" ht="12" customHeight="1">
      <c r="A139" s="43" t="s">
        <v>87</v>
      </c>
      <c r="B139" s="18" t="s">
        <v>447</v>
      </c>
      <c r="C139" s="93"/>
    </row>
    <row r="140" spans="1:3" ht="12" customHeight="1">
      <c r="A140" s="43" t="s">
        <v>88</v>
      </c>
      <c r="B140" s="18" t="s">
        <v>448</v>
      </c>
      <c r="C140" s="93"/>
    </row>
    <row r="141" spans="1:3" ht="12" customHeight="1">
      <c r="A141" s="43" t="s">
        <v>164</v>
      </c>
      <c r="B141" s="18" t="s">
        <v>449</v>
      </c>
      <c r="C141" s="93"/>
    </row>
    <row r="142" spans="1:3" ht="12" customHeight="1">
      <c r="A142" s="43" t="s">
        <v>165</v>
      </c>
      <c r="B142" s="18" t="s">
        <v>450</v>
      </c>
      <c r="C142" s="93"/>
    </row>
    <row r="143" spans="1:3" ht="12" customHeight="1" thickBot="1">
      <c r="A143" s="86" t="s">
        <v>166</v>
      </c>
      <c r="B143" s="18" t="s">
        <v>451</v>
      </c>
      <c r="C143" s="93"/>
    </row>
    <row r="144" spans="1:3" ht="12" customHeight="1" thickBot="1">
      <c r="A144" s="39" t="s">
        <v>19</v>
      </c>
      <c r="B144" s="19" t="s">
        <v>459</v>
      </c>
      <c r="C144" s="55">
        <f>+C145+C146+C147+C148</f>
        <v>0</v>
      </c>
    </row>
    <row r="145" spans="1:3" ht="12" customHeight="1">
      <c r="A145" s="43" t="s">
        <v>89</v>
      </c>
      <c r="B145" s="18" t="s">
        <v>366</v>
      </c>
      <c r="C145" s="93"/>
    </row>
    <row r="146" spans="1:3" ht="12" customHeight="1">
      <c r="A146" s="43" t="s">
        <v>90</v>
      </c>
      <c r="B146" s="18" t="s">
        <v>367</v>
      </c>
      <c r="C146" s="93"/>
    </row>
    <row r="147" spans="1:3" ht="12" customHeight="1">
      <c r="A147" s="43" t="s">
        <v>281</v>
      </c>
      <c r="B147" s="18" t="s">
        <v>460</v>
      </c>
      <c r="C147" s="93"/>
    </row>
    <row r="148" spans="1:3" ht="12" customHeight="1" thickBot="1">
      <c r="A148" s="86" t="s">
        <v>282</v>
      </c>
      <c r="B148" s="17" t="s">
        <v>386</v>
      </c>
      <c r="C148" s="93"/>
    </row>
    <row r="149" spans="1:3" ht="12" customHeight="1" thickBot="1">
      <c r="A149" s="39" t="s">
        <v>20</v>
      </c>
      <c r="B149" s="19" t="s">
        <v>461</v>
      </c>
      <c r="C149" s="96">
        <f>SUM(C150:C154)</f>
        <v>0</v>
      </c>
    </row>
    <row r="150" spans="1:3" ht="12" customHeight="1">
      <c r="A150" s="43" t="s">
        <v>91</v>
      </c>
      <c r="B150" s="18" t="s">
        <v>456</v>
      </c>
      <c r="C150" s="93"/>
    </row>
    <row r="151" spans="1:3" ht="12" customHeight="1">
      <c r="A151" s="43" t="s">
        <v>92</v>
      </c>
      <c r="B151" s="18" t="s">
        <v>463</v>
      </c>
      <c r="C151" s="93"/>
    </row>
    <row r="152" spans="1:3" ht="12" customHeight="1">
      <c r="A152" s="43" t="s">
        <v>293</v>
      </c>
      <c r="B152" s="18" t="s">
        <v>458</v>
      </c>
      <c r="C152" s="93"/>
    </row>
    <row r="153" spans="1:3" ht="12" customHeight="1">
      <c r="A153" s="43" t="s">
        <v>294</v>
      </c>
      <c r="B153" s="18" t="s">
        <v>464</v>
      </c>
      <c r="C153" s="93"/>
    </row>
    <row r="154" spans="1:3" ht="12" customHeight="1" thickBot="1">
      <c r="A154" s="43" t="s">
        <v>462</v>
      </c>
      <c r="B154" s="18" t="s">
        <v>465</v>
      </c>
      <c r="C154" s="93"/>
    </row>
    <row r="155" spans="1:3" ht="12" customHeight="1" thickBot="1">
      <c r="A155" s="39" t="s">
        <v>21</v>
      </c>
      <c r="B155" s="19" t="s">
        <v>466</v>
      </c>
      <c r="C155" s="650"/>
    </row>
    <row r="156" spans="1:3" ht="12" customHeight="1" thickBot="1">
      <c r="A156" s="39" t="s">
        <v>22</v>
      </c>
      <c r="B156" s="19" t="s">
        <v>467</v>
      </c>
      <c r="C156" s="650"/>
    </row>
    <row r="157" spans="1:3" ht="15" customHeight="1" thickBot="1">
      <c r="A157" s="39" t="s">
        <v>23</v>
      </c>
      <c r="B157" s="19" t="s">
        <v>469</v>
      </c>
      <c r="C157" s="97">
        <f>+C133+C137+C144+C149+C155+C156</f>
        <v>0</v>
      </c>
    </row>
    <row r="158" spans="1:3" s="42" customFormat="1" ht="12.95" customHeight="1" thickBot="1">
      <c r="A158" s="99" t="s">
        <v>24</v>
      </c>
      <c r="B158" s="100" t="s">
        <v>468</v>
      </c>
      <c r="C158" s="97">
        <f>+C132+C157</f>
        <v>0</v>
      </c>
    </row>
    <row r="159" spans="1:3" ht="7.5" customHeight="1"/>
  </sheetData>
  <mergeCells count="4">
    <mergeCell ref="A5:B5"/>
    <mergeCell ref="A6:B6"/>
    <mergeCell ref="A93:B93"/>
    <mergeCell ref="A94:B94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80" fitToHeight="2" orientation="portrait" r:id="rId1"/>
  <headerFooter alignWithMargins="0">
    <oddHeader>&amp;R&amp;"Times New Roman CE,Félkövér dőlt"&amp;11 1.1. melléklet a 3/2019. (II.28.) önkormányzati rendelethez</oddHeader>
    <oddFooter>&amp;P. oldal, összesen: &amp;N</oddFooter>
  </headerFooter>
  <rowBreaks count="3" manualBreakCount="3">
    <brk id="66" max="2" man="1"/>
    <brk id="91" max="8" man="1"/>
    <brk id="13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FFFF00"/>
  </sheetPr>
  <dimension ref="A1:E34"/>
  <sheetViews>
    <sheetView zoomScale="115" zoomScaleNormal="115" zoomScaleSheetLayoutView="100" workbookViewId="0">
      <selection activeCell="D1" sqref="D1"/>
    </sheetView>
  </sheetViews>
  <sheetFormatPr defaultRowHeight="12.75"/>
  <cols>
    <col min="1" max="1" width="4.83203125" style="224" bestFit="1" customWidth="1"/>
    <col min="2" max="2" width="47.6640625" style="223" bestFit="1" customWidth="1"/>
    <col min="3" max="3" width="21.33203125" style="224" bestFit="1" customWidth="1"/>
    <col min="4" max="4" width="43.33203125" style="224" bestFit="1" customWidth="1"/>
    <col min="5" max="5" width="18.83203125" style="224" customWidth="1"/>
    <col min="6" max="16384" width="9.33203125" style="224"/>
  </cols>
  <sheetData>
    <row r="1" spans="1:5">
      <c r="B1" s="224"/>
      <c r="D1" s="392" t="s">
        <v>716</v>
      </c>
    </row>
    <row r="2" spans="1:5" ht="31.5">
      <c r="B2" s="165" t="s">
        <v>147</v>
      </c>
      <c r="C2" s="493"/>
      <c r="D2" s="493"/>
      <c r="E2" s="493"/>
    </row>
    <row r="3" spans="1:5" ht="14.25" thickBot="1">
      <c r="E3" s="724" t="s">
        <v>581</v>
      </c>
    </row>
    <row r="4" spans="1:5" ht="13.5" thickBot="1">
      <c r="A4" s="781" t="s">
        <v>64</v>
      </c>
      <c r="B4" s="166" t="s">
        <v>51</v>
      </c>
      <c r="C4" s="725"/>
      <c r="D4" s="166" t="s">
        <v>52</v>
      </c>
      <c r="E4" s="726"/>
    </row>
    <row r="5" spans="1:5" s="168" customFormat="1" ht="24.75" thickBot="1">
      <c r="A5" s="782"/>
      <c r="B5" s="167" t="s">
        <v>56</v>
      </c>
      <c r="C5" s="727" t="s">
        <v>692</v>
      </c>
      <c r="D5" s="167" t="s">
        <v>56</v>
      </c>
      <c r="E5" s="727" t="s">
        <v>692</v>
      </c>
    </row>
    <row r="6" spans="1:5" s="190" customFormat="1" ht="11.25" thickBot="1">
      <c r="A6" s="169" t="s">
        <v>483</v>
      </c>
      <c r="B6" s="170" t="s">
        <v>484</v>
      </c>
      <c r="C6" s="728" t="s">
        <v>485</v>
      </c>
      <c r="D6" s="170" t="s">
        <v>487</v>
      </c>
      <c r="E6" s="171" t="s">
        <v>486</v>
      </c>
    </row>
    <row r="7" spans="1:5">
      <c r="A7" s="494" t="s">
        <v>14</v>
      </c>
      <c r="B7" s="172" t="s">
        <v>369</v>
      </c>
      <c r="C7" s="729">
        <f>223966276</f>
        <v>223966276</v>
      </c>
      <c r="D7" s="172" t="s">
        <v>57</v>
      </c>
      <c r="E7" s="20">
        <v>81039317</v>
      </c>
    </row>
    <row r="8" spans="1:5" ht="22.5">
      <c r="A8" s="495" t="s">
        <v>15</v>
      </c>
      <c r="B8" s="173" t="s">
        <v>370</v>
      </c>
      <c r="C8" s="174">
        <f>75066371</f>
        <v>75066371</v>
      </c>
      <c r="D8" s="173" t="s">
        <v>172</v>
      </c>
      <c r="E8" s="27">
        <v>17133121</v>
      </c>
    </row>
    <row r="9" spans="1:5">
      <c r="A9" s="495" t="s">
        <v>16</v>
      </c>
      <c r="B9" s="173" t="s">
        <v>391</v>
      </c>
      <c r="C9" s="174"/>
      <c r="D9" s="173" t="s">
        <v>222</v>
      </c>
      <c r="E9" s="27">
        <v>263854593</v>
      </c>
    </row>
    <row r="10" spans="1:5">
      <c r="A10" s="495" t="s">
        <v>17</v>
      </c>
      <c r="B10" s="173" t="s">
        <v>163</v>
      </c>
      <c r="C10" s="174">
        <f>136700000</f>
        <v>136700000</v>
      </c>
      <c r="D10" s="173" t="s">
        <v>173</v>
      </c>
      <c r="E10" s="27">
        <v>7330000</v>
      </c>
    </row>
    <row r="11" spans="1:5">
      <c r="A11" s="495" t="s">
        <v>18</v>
      </c>
      <c r="B11" s="191" t="s">
        <v>415</v>
      </c>
      <c r="C11" s="174">
        <f>130660612</f>
        <v>130660612</v>
      </c>
      <c r="D11" s="173" t="s">
        <v>174</v>
      </c>
      <c r="E11" s="27">
        <v>173511355</v>
      </c>
    </row>
    <row r="12" spans="1:5">
      <c r="A12" s="495" t="s">
        <v>19</v>
      </c>
      <c r="B12" s="173" t="s">
        <v>371</v>
      </c>
      <c r="C12" s="730">
        <v>505503</v>
      </c>
      <c r="D12" s="173" t="s">
        <v>45</v>
      </c>
      <c r="E12" s="27">
        <v>33170228</v>
      </c>
    </row>
    <row r="13" spans="1:5">
      <c r="A13" s="495" t="s">
        <v>20</v>
      </c>
      <c r="B13" s="173" t="s">
        <v>477</v>
      </c>
      <c r="C13" s="174"/>
      <c r="D13" s="176"/>
      <c r="E13" s="27"/>
    </row>
    <row r="14" spans="1:5">
      <c r="A14" s="495" t="s">
        <v>21</v>
      </c>
      <c r="B14" s="173"/>
      <c r="C14" s="730"/>
      <c r="D14" s="173"/>
      <c r="E14" s="27"/>
    </row>
    <row r="15" spans="1:5">
      <c r="A15" s="495" t="s">
        <v>22</v>
      </c>
      <c r="B15" s="173"/>
      <c r="C15" s="730"/>
      <c r="D15" s="173"/>
      <c r="E15" s="27"/>
    </row>
    <row r="16" spans="1:5" ht="17.25" customHeight="1">
      <c r="A16" s="495" t="s">
        <v>23</v>
      </c>
      <c r="B16" s="173"/>
      <c r="C16" s="730"/>
      <c r="D16" s="173"/>
      <c r="E16" s="27"/>
    </row>
    <row r="17" spans="1:5" ht="15" customHeight="1">
      <c r="A17" s="495" t="s">
        <v>24</v>
      </c>
      <c r="B17" s="173"/>
      <c r="C17" s="730"/>
      <c r="D17" s="173"/>
      <c r="E17" s="27"/>
    </row>
    <row r="18" spans="1:5" ht="15" customHeight="1" thickBot="1">
      <c r="A18" s="495" t="s">
        <v>25</v>
      </c>
      <c r="B18" s="173"/>
      <c r="C18" s="730"/>
      <c r="D18" s="173"/>
      <c r="E18" s="27"/>
    </row>
    <row r="19" spans="1:5" ht="26.25" thickBot="1">
      <c r="A19" s="180" t="s">
        <v>26</v>
      </c>
      <c r="B19" s="181" t="s">
        <v>478</v>
      </c>
      <c r="C19" s="733">
        <f>SUM(C7:C18)</f>
        <v>566898762</v>
      </c>
      <c r="D19" s="181" t="s">
        <v>377</v>
      </c>
      <c r="E19" s="734">
        <f>SUM(E7:E18)</f>
        <v>576038614</v>
      </c>
    </row>
    <row r="20" spans="1:5" ht="25.5">
      <c r="A20" s="496" t="s">
        <v>27</v>
      </c>
      <c r="B20" s="179" t="s">
        <v>374</v>
      </c>
      <c r="C20" s="738">
        <f>+C21+C22+C23+C24</f>
        <v>193508260</v>
      </c>
      <c r="D20" s="173" t="s">
        <v>180</v>
      </c>
      <c r="E20" s="732"/>
    </row>
    <row r="21" spans="1:5" ht="25.5">
      <c r="A21" s="495" t="s">
        <v>28</v>
      </c>
      <c r="B21" s="173" t="s">
        <v>215</v>
      </c>
      <c r="C21" s="174">
        <f>E31-C19-C25-C29</f>
        <v>193508260</v>
      </c>
      <c r="D21" s="173" t="s">
        <v>376</v>
      </c>
      <c r="E21" s="27"/>
    </row>
    <row r="22" spans="1:5" ht="25.5">
      <c r="A22" s="495" t="s">
        <v>29</v>
      </c>
      <c r="B22" s="173" t="s">
        <v>216</v>
      </c>
      <c r="C22" s="174"/>
      <c r="D22" s="173" t="s">
        <v>145</v>
      </c>
      <c r="E22" s="27"/>
    </row>
    <row r="23" spans="1:5" ht="25.5">
      <c r="A23" s="495" t="s">
        <v>30</v>
      </c>
      <c r="B23" s="173" t="s">
        <v>220</v>
      </c>
      <c r="C23" s="174"/>
      <c r="D23" s="173" t="s">
        <v>146</v>
      </c>
      <c r="E23" s="27"/>
    </row>
    <row r="24" spans="1:5" ht="25.5">
      <c r="A24" s="495" t="s">
        <v>31</v>
      </c>
      <c r="B24" s="173" t="s">
        <v>221</v>
      </c>
      <c r="C24" s="174"/>
      <c r="D24" s="179" t="s">
        <v>223</v>
      </c>
      <c r="E24" s="27"/>
    </row>
    <row r="25" spans="1:5" ht="25.5">
      <c r="A25" s="495" t="s">
        <v>32</v>
      </c>
      <c r="B25" s="173" t="s">
        <v>375</v>
      </c>
      <c r="C25" s="736">
        <f>C26+C27</f>
        <v>0</v>
      </c>
      <c r="D25" s="173" t="s">
        <v>181</v>
      </c>
      <c r="E25" s="27"/>
    </row>
    <row r="26" spans="1:5" ht="25.5">
      <c r="A26" s="496" t="s">
        <v>33</v>
      </c>
      <c r="B26" s="179" t="s">
        <v>372</v>
      </c>
      <c r="C26" s="739"/>
      <c r="D26" s="172" t="s">
        <v>460</v>
      </c>
      <c r="E26" s="732"/>
    </row>
    <row r="27" spans="1:5" ht="25.5">
      <c r="A27" s="495" t="s">
        <v>34</v>
      </c>
      <c r="B27" s="173" t="s">
        <v>373</v>
      </c>
      <c r="C27" s="174"/>
      <c r="D27" s="173" t="s">
        <v>466</v>
      </c>
      <c r="E27" s="27"/>
    </row>
    <row r="28" spans="1:5" ht="25.5">
      <c r="A28" s="495" t="s">
        <v>35</v>
      </c>
      <c r="B28" s="173" t="s">
        <v>471</v>
      </c>
      <c r="C28" s="174"/>
      <c r="D28" s="173" t="s">
        <v>576</v>
      </c>
      <c r="E28" s="27">
        <f>8107720</f>
        <v>8107720</v>
      </c>
    </row>
    <row r="29" spans="1:5" ht="26.25" thickBot="1">
      <c r="A29" s="496" t="s">
        <v>36</v>
      </c>
      <c r="B29" s="179" t="s">
        <v>318</v>
      </c>
      <c r="C29" s="739"/>
      <c r="D29" s="178" t="s">
        <v>541</v>
      </c>
      <c r="E29" s="732">
        <f>176260688</f>
        <v>176260688</v>
      </c>
    </row>
    <row r="30" spans="1:5" ht="26.25" thickBot="1">
      <c r="A30" s="180" t="s">
        <v>37</v>
      </c>
      <c r="B30" s="181" t="s">
        <v>479</v>
      </c>
      <c r="C30" s="733">
        <f>+C20+C25+C28+C29</f>
        <v>193508260</v>
      </c>
      <c r="D30" s="181" t="s">
        <v>481</v>
      </c>
      <c r="E30" s="734">
        <f>SUM(E20:E29)</f>
        <v>184368408</v>
      </c>
    </row>
    <row r="31" spans="1:5" ht="26.25" thickBot="1">
      <c r="A31" s="180" t="s">
        <v>38</v>
      </c>
      <c r="B31" s="189" t="s">
        <v>480</v>
      </c>
      <c r="C31" s="737">
        <f>+C19+C30</f>
        <v>760407022</v>
      </c>
      <c r="D31" s="189" t="s">
        <v>482</v>
      </c>
      <c r="E31" s="737">
        <f>+E19+E30</f>
        <v>760407022</v>
      </c>
    </row>
    <row r="32" spans="1:5" ht="26.25" thickBot="1">
      <c r="A32" s="180" t="s">
        <v>39</v>
      </c>
      <c r="B32" s="189" t="s">
        <v>158</v>
      </c>
      <c r="C32" s="737"/>
      <c r="D32" s="189" t="s">
        <v>159</v>
      </c>
      <c r="E32" s="737"/>
    </row>
    <row r="33" spans="1:5" ht="26.25" thickBot="1">
      <c r="A33" s="180" t="s">
        <v>40</v>
      </c>
      <c r="B33" s="189" t="s">
        <v>224</v>
      </c>
      <c r="C33" s="737"/>
      <c r="D33" s="189" t="s">
        <v>225</v>
      </c>
      <c r="E33" s="737"/>
    </row>
    <row r="34" spans="1:5" ht="18.75">
      <c r="B34" s="783"/>
      <c r="C34" s="783"/>
      <c r="D34" s="783"/>
    </row>
  </sheetData>
  <mergeCells count="2">
    <mergeCell ref="A4:A5"/>
    <mergeCell ref="B34:D3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FFFF00"/>
  </sheetPr>
  <dimension ref="A1:E34"/>
  <sheetViews>
    <sheetView zoomScaleNormal="100" zoomScaleSheetLayoutView="115" workbookViewId="0">
      <selection activeCell="D1" sqref="D1"/>
    </sheetView>
  </sheetViews>
  <sheetFormatPr defaultRowHeight="12.75"/>
  <cols>
    <col min="1" max="1" width="5.6640625" style="224" bestFit="1" customWidth="1"/>
    <col min="2" max="2" width="50.5" style="223" bestFit="1" customWidth="1"/>
    <col min="3" max="3" width="14.33203125" style="224" bestFit="1" customWidth="1"/>
    <col min="4" max="4" width="53" style="224" bestFit="1" customWidth="1"/>
    <col min="5" max="5" width="14.33203125" style="224" bestFit="1" customWidth="1"/>
    <col min="6" max="16384" width="9.33203125" style="224"/>
  </cols>
  <sheetData>
    <row r="1" spans="1:5">
      <c r="B1" s="224" t="s">
        <v>536</v>
      </c>
      <c r="D1" s="164" t="s">
        <v>717</v>
      </c>
      <c r="E1" s="164"/>
    </row>
    <row r="2" spans="1:5" ht="31.5">
      <c r="B2" s="165" t="s">
        <v>148</v>
      </c>
      <c r="C2" s="493"/>
      <c r="D2" s="493"/>
      <c r="E2" s="493"/>
    </row>
    <row r="3" spans="1:5" ht="14.25" thickBot="1">
      <c r="E3" s="724" t="s">
        <v>581</v>
      </c>
    </row>
    <row r="4" spans="1:5" ht="13.5" thickBot="1">
      <c r="A4" s="784" t="s">
        <v>64</v>
      </c>
      <c r="B4" s="166" t="s">
        <v>51</v>
      </c>
      <c r="C4" s="725"/>
      <c r="D4" s="166" t="s">
        <v>52</v>
      </c>
      <c r="E4" s="726"/>
    </row>
    <row r="5" spans="1:5" s="168" customFormat="1" ht="36.75" thickBot="1">
      <c r="A5" s="785"/>
      <c r="B5" s="167" t="s">
        <v>56</v>
      </c>
      <c r="C5" s="727" t="s">
        <v>692</v>
      </c>
      <c r="D5" s="167" t="s">
        <v>56</v>
      </c>
      <c r="E5" s="727" t="s">
        <v>692</v>
      </c>
    </row>
    <row r="6" spans="1:5" s="168" customFormat="1" ht="13.5" thickBot="1">
      <c r="A6" s="169" t="s">
        <v>483</v>
      </c>
      <c r="B6" s="170" t="s">
        <v>484</v>
      </c>
      <c r="C6" s="728" t="s">
        <v>485</v>
      </c>
      <c r="D6" s="170" t="s">
        <v>487</v>
      </c>
      <c r="E6" s="171" t="s">
        <v>486</v>
      </c>
    </row>
    <row r="7" spans="1:5">
      <c r="A7" s="494" t="s">
        <v>14</v>
      </c>
      <c r="B7" s="172" t="s">
        <v>378</v>
      </c>
      <c r="C7" s="729">
        <v>39844721</v>
      </c>
      <c r="D7" s="172" t="s">
        <v>217</v>
      </c>
      <c r="E7" s="20">
        <v>304198564</v>
      </c>
    </row>
    <row r="8" spans="1:5">
      <c r="A8" s="495" t="s">
        <v>15</v>
      </c>
      <c r="B8" s="173" t="s">
        <v>379</v>
      </c>
      <c r="C8" s="174"/>
      <c r="D8" s="173" t="s">
        <v>384</v>
      </c>
      <c r="E8" s="27"/>
    </row>
    <row r="9" spans="1:5">
      <c r="A9" s="495" t="s">
        <v>16</v>
      </c>
      <c r="B9" s="173" t="s">
        <v>8</v>
      </c>
      <c r="C9" s="174"/>
      <c r="D9" s="173" t="s">
        <v>176</v>
      </c>
      <c r="E9" s="27">
        <v>89587897</v>
      </c>
    </row>
    <row r="10" spans="1:5">
      <c r="A10" s="495" t="s">
        <v>17</v>
      </c>
      <c r="B10" s="173" t="s">
        <v>380</v>
      </c>
      <c r="C10" s="174"/>
      <c r="D10" s="173" t="s">
        <v>385</v>
      </c>
      <c r="E10" s="27"/>
    </row>
    <row r="11" spans="1:5">
      <c r="A11" s="495" t="s">
        <v>18</v>
      </c>
      <c r="B11" s="173" t="s">
        <v>381</v>
      </c>
      <c r="C11" s="174"/>
      <c r="D11" s="173" t="s">
        <v>219</v>
      </c>
      <c r="E11" s="27">
        <v>650000</v>
      </c>
    </row>
    <row r="12" spans="1:5">
      <c r="A12" s="495" t="s">
        <v>19</v>
      </c>
      <c r="B12" s="173" t="s">
        <v>382</v>
      </c>
      <c r="C12" s="730">
        <f>7100000</f>
        <v>7100000</v>
      </c>
      <c r="D12" s="175"/>
      <c r="E12" s="27"/>
    </row>
    <row r="13" spans="1:5">
      <c r="A13" s="495" t="s">
        <v>20</v>
      </c>
      <c r="B13" s="176"/>
      <c r="C13" s="174"/>
      <c r="D13" s="175"/>
      <c r="E13" s="27"/>
    </row>
    <row r="14" spans="1:5">
      <c r="A14" s="495" t="s">
        <v>21</v>
      </c>
      <c r="B14" s="176"/>
      <c r="C14" s="174"/>
      <c r="D14" s="175"/>
      <c r="E14" s="27"/>
    </row>
    <row r="15" spans="1:5">
      <c r="A15" s="495" t="s">
        <v>22</v>
      </c>
      <c r="B15" s="177"/>
      <c r="C15" s="730"/>
      <c r="D15" s="175"/>
      <c r="E15" s="27"/>
    </row>
    <row r="16" spans="1:5">
      <c r="A16" s="495" t="s">
        <v>23</v>
      </c>
      <c r="B16" s="176"/>
      <c r="C16" s="730"/>
      <c r="D16" s="175"/>
      <c r="E16" s="27"/>
    </row>
    <row r="17" spans="1:5" ht="13.5" thickBot="1">
      <c r="A17" s="496" t="s">
        <v>24</v>
      </c>
      <c r="B17" s="178"/>
      <c r="C17" s="731"/>
      <c r="D17" s="179" t="s">
        <v>45</v>
      </c>
      <c r="E17" s="732"/>
    </row>
    <row r="18" spans="1:5" ht="13.5" thickBot="1">
      <c r="A18" s="180" t="s">
        <v>25</v>
      </c>
      <c r="B18" s="181" t="s">
        <v>392</v>
      </c>
      <c r="C18" s="733">
        <f>+C7+C9+C10+C12+C13+C14+C15+C16+C17</f>
        <v>46944721</v>
      </c>
      <c r="D18" s="181" t="s">
        <v>393</v>
      </c>
      <c r="E18" s="734">
        <f>+E7+E9+E11+E12+E13+E14+E15+E16+E17</f>
        <v>394436461</v>
      </c>
    </row>
    <row r="19" spans="1:5">
      <c r="A19" s="494" t="s">
        <v>26</v>
      </c>
      <c r="B19" s="182" t="s">
        <v>237</v>
      </c>
      <c r="C19" s="735">
        <f>+C20+C21+C22+C23+C24</f>
        <v>347491740</v>
      </c>
      <c r="D19" s="173" t="s">
        <v>180</v>
      </c>
      <c r="E19" s="20"/>
    </row>
    <row r="20" spans="1:5">
      <c r="A20" s="495" t="s">
        <v>27</v>
      </c>
      <c r="B20" s="183" t="s">
        <v>226</v>
      </c>
      <c r="C20" s="174">
        <f>E32-C18</f>
        <v>347491740</v>
      </c>
      <c r="D20" s="173" t="s">
        <v>183</v>
      </c>
      <c r="E20" s="27"/>
    </row>
    <row r="21" spans="1:5">
      <c r="A21" s="494" t="s">
        <v>28</v>
      </c>
      <c r="B21" s="183" t="s">
        <v>227</v>
      </c>
      <c r="C21" s="174"/>
      <c r="D21" s="173" t="s">
        <v>145</v>
      </c>
      <c r="E21" s="27"/>
    </row>
    <row r="22" spans="1:5">
      <c r="A22" s="495" t="s">
        <v>29</v>
      </c>
      <c r="B22" s="183" t="s">
        <v>228</v>
      </c>
      <c r="C22" s="174"/>
      <c r="D22" s="173" t="s">
        <v>146</v>
      </c>
      <c r="E22" s="27"/>
    </row>
    <row r="23" spans="1:5">
      <c r="A23" s="494" t="s">
        <v>30</v>
      </c>
      <c r="B23" s="183" t="s">
        <v>229</v>
      </c>
      <c r="C23" s="174"/>
      <c r="D23" s="179" t="s">
        <v>223</v>
      </c>
      <c r="E23" s="27"/>
    </row>
    <row r="24" spans="1:5">
      <c r="A24" s="495" t="s">
        <v>31</v>
      </c>
      <c r="B24" s="184" t="s">
        <v>230</v>
      </c>
      <c r="C24" s="174"/>
      <c r="D24" s="173" t="s">
        <v>184</v>
      </c>
      <c r="E24" s="27"/>
    </row>
    <row r="25" spans="1:5">
      <c r="A25" s="494" t="s">
        <v>32</v>
      </c>
      <c r="B25" s="185" t="s">
        <v>231</v>
      </c>
      <c r="C25" s="736">
        <f>+C26+C27+C28+C29+C30</f>
        <v>0</v>
      </c>
      <c r="D25" s="172" t="s">
        <v>182</v>
      </c>
      <c r="E25" s="27"/>
    </row>
    <row r="26" spans="1:5">
      <c r="A26" s="495" t="s">
        <v>33</v>
      </c>
      <c r="B26" s="184" t="s">
        <v>232</v>
      </c>
      <c r="C26" s="174"/>
      <c r="D26" s="172" t="s">
        <v>386</v>
      </c>
      <c r="E26" s="27"/>
    </row>
    <row r="27" spans="1:5">
      <c r="A27" s="494" t="s">
        <v>34</v>
      </c>
      <c r="B27" s="184" t="s">
        <v>233</v>
      </c>
      <c r="C27" s="174"/>
      <c r="D27" s="186"/>
      <c r="E27" s="27"/>
    </row>
    <row r="28" spans="1:5">
      <c r="A28" s="495" t="s">
        <v>35</v>
      </c>
      <c r="B28" s="183" t="s">
        <v>234</v>
      </c>
      <c r="C28" s="174"/>
      <c r="D28" s="186"/>
      <c r="E28" s="27"/>
    </row>
    <row r="29" spans="1:5">
      <c r="A29" s="494" t="s">
        <v>36</v>
      </c>
      <c r="B29" s="187" t="s">
        <v>235</v>
      </c>
      <c r="C29" s="174"/>
      <c r="D29" s="176"/>
      <c r="E29" s="27"/>
    </row>
    <row r="30" spans="1:5" ht="13.5" thickBot="1">
      <c r="A30" s="495" t="s">
        <v>37</v>
      </c>
      <c r="B30" s="188" t="s">
        <v>236</v>
      </c>
      <c r="C30" s="174"/>
      <c r="D30" s="186"/>
      <c r="E30" s="27"/>
    </row>
    <row r="31" spans="1:5" ht="21.75" thickBot="1">
      <c r="A31" s="180" t="s">
        <v>38</v>
      </c>
      <c r="B31" s="181" t="s">
        <v>383</v>
      </c>
      <c r="C31" s="733">
        <f>+C19+C25</f>
        <v>347491740</v>
      </c>
      <c r="D31" s="181" t="s">
        <v>387</v>
      </c>
      <c r="E31" s="734">
        <f>SUM(E19:E30)</f>
        <v>0</v>
      </c>
    </row>
    <row r="32" spans="1:5" ht="13.5" thickBot="1">
      <c r="A32" s="180" t="s">
        <v>39</v>
      </c>
      <c r="B32" s="189" t="s">
        <v>388</v>
      </c>
      <c r="C32" s="737">
        <f>C18+C31</f>
        <v>394436461</v>
      </c>
      <c r="D32" s="189" t="s">
        <v>389</v>
      </c>
      <c r="E32" s="737">
        <f>E18+E31</f>
        <v>394436461</v>
      </c>
    </row>
    <row r="33" spans="1:5" ht="13.5" thickBot="1">
      <c r="A33" s="180" t="s">
        <v>40</v>
      </c>
      <c r="B33" s="189" t="s">
        <v>158</v>
      </c>
      <c r="C33" s="737"/>
      <c r="D33" s="189" t="s">
        <v>159</v>
      </c>
      <c r="E33" s="737"/>
    </row>
    <row r="34" spans="1:5" ht="13.5" thickBot="1">
      <c r="A34" s="180" t="s">
        <v>41</v>
      </c>
      <c r="B34" s="189" t="s">
        <v>224</v>
      </c>
      <c r="C34" s="737"/>
      <c r="D34" s="189" t="s">
        <v>225</v>
      </c>
      <c r="E34" s="737"/>
    </row>
  </sheetData>
  <mergeCells count="1">
    <mergeCell ref="A4:A5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FFFF00"/>
  </sheetPr>
  <dimension ref="A1:G11"/>
  <sheetViews>
    <sheetView view="pageLayout" zoomScaleNormal="120" workbookViewId="0">
      <selection activeCell="B14" sqref="B14"/>
    </sheetView>
  </sheetViews>
  <sheetFormatPr defaultRowHeight="15"/>
  <cols>
    <col min="1" max="1" width="5.1640625" style="120" bestFit="1" customWidth="1"/>
    <col min="2" max="2" width="28.83203125" style="120" bestFit="1" customWidth="1"/>
    <col min="3" max="6" width="16.33203125" style="120" bestFit="1" customWidth="1"/>
    <col min="7" max="16384" width="9.33203125" style="120"/>
  </cols>
  <sheetData>
    <row r="1" spans="1:7" ht="33" customHeight="1">
      <c r="A1" s="786" t="s">
        <v>539</v>
      </c>
      <c r="B1" s="786"/>
      <c r="C1" s="786"/>
      <c r="D1" s="786"/>
      <c r="E1" s="786"/>
      <c r="F1" s="786"/>
    </row>
    <row r="2" spans="1:7" ht="15.95" customHeight="1" thickBot="1">
      <c r="A2" s="121"/>
      <c r="B2" s="121"/>
      <c r="C2" s="787"/>
      <c r="D2" s="787"/>
      <c r="E2" s="794" t="s">
        <v>581</v>
      </c>
      <c r="F2" s="794"/>
      <c r="G2" s="123"/>
    </row>
    <row r="3" spans="1:7" ht="63" customHeight="1">
      <c r="A3" s="790" t="s">
        <v>12</v>
      </c>
      <c r="B3" s="792" t="s">
        <v>186</v>
      </c>
      <c r="C3" s="792" t="s">
        <v>240</v>
      </c>
      <c r="D3" s="792"/>
      <c r="E3" s="792"/>
      <c r="F3" s="788" t="s">
        <v>493</v>
      </c>
    </row>
    <row r="4" spans="1:7" ht="15.75" thickBot="1">
      <c r="A4" s="791"/>
      <c r="B4" s="793"/>
      <c r="C4" s="682" t="s">
        <v>595</v>
      </c>
      <c r="D4" s="682" t="s">
        <v>596</v>
      </c>
      <c r="E4" s="682" t="s">
        <v>649</v>
      </c>
      <c r="F4" s="789"/>
    </row>
    <row r="5" spans="1:7" ht="15.75" thickBot="1">
      <c r="A5" s="154" t="s">
        <v>483</v>
      </c>
      <c r="B5" s="155" t="s">
        <v>484</v>
      </c>
      <c r="C5" s="155" t="s">
        <v>485</v>
      </c>
      <c r="D5" s="155" t="s">
        <v>487</v>
      </c>
      <c r="E5" s="155" t="s">
        <v>486</v>
      </c>
      <c r="F5" s="683" t="s">
        <v>488</v>
      </c>
    </row>
    <row r="6" spans="1:7">
      <c r="A6" s="156" t="s">
        <v>14</v>
      </c>
      <c r="B6" s="157" t="s">
        <v>557</v>
      </c>
      <c r="C6" s="684">
        <v>127500000</v>
      </c>
      <c r="D6" s="684">
        <v>127500000</v>
      </c>
      <c r="E6" s="684">
        <v>127500000</v>
      </c>
      <c r="F6" s="685">
        <f>SUM(C6:E6)</f>
        <v>382500000</v>
      </c>
    </row>
    <row r="7" spans="1:7" ht="26.25">
      <c r="A7" s="158" t="s">
        <v>15</v>
      </c>
      <c r="B7" s="395" t="s">
        <v>650</v>
      </c>
      <c r="C7" s="686">
        <v>200000</v>
      </c>
      <c r="D7" s="686">
        <v>200000</v>
      </c>
      <c r="E7" s="686">
        <v>200000</v>
      </c>
      <c r="F7" s="687">
        <f>SUM(C7:E7)</f>
        <v>600000</v>
      </c>
    </row>
    <row r="8" spans="1:7">
      <c r="A8" s="158" t="s">
        <v>16</v>
      </c>
      <c r="B8" s="159"/>
      <c r="C8" s="686"/>
      <c r="D8" s="686"/>
      <c r="E8" s="686"/>
      <c r="F8" s="687">
        <f>SUM(C8:E8)</f>
        <v>0</v>
      </c>
    </row>
    <row r="9" spans="1:7">
      <c r="A9" s="158" t="s">
        <v>17</v>
      </c>
      <c r="B9" s="159"/>
      <c r="C9" s="686"/>
      <c r="D9" s="686"/>
      <c r="E9" s="686"/>
      <c r="F9" s="687">
        <f>SUM(C9:E9)</f>
        <v>0</v>
      </c>
    </row>
    <row r="10" spans="1:7" ht="15.75" thickBot="1">
      <c r="A10" s="160" t="s">
        <v>18</v>
      </c>
      <c r="B10" s="161"/>
      <c r="C10" s="688"/>
      <c r="D10" s="688"/>
      <c r="E10" s="688"/>
      <c r="F10" s="687">
        <f>SUM(C10:E10)</f>
        <v>0</v>
      </c>
    </row>
    <row r="11" spans="1:7" s="142" customFormat="1" thickBot="1">
      <c r="A11" s="162" t="s">
        <v>19</v>
      </c>
      <c r="B11" s="163" t="s">
        <v>187</v>
      </c>
      <c r="C11" s="689">
        <f>SUM(C6:C10)</f>
        <v>127700000</v>
      </c>
      <c r="D11" s="689">
        <f>SUM(D6:D10)</f>
        <v>127700000</v>
      </c>
      <c r="E11" s="689">
        <f>SUM(E6:E10)</f>
        <v>127700000</v>
      </c>
      <c r="F11" s="690">
        <f>SUM(F6:F10)</f>
        <v>383100000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FFFF00"/>
  </sheetPr>
  <dimension ref="A1:C12"/>
  <sheetViews>
    <sheetView view="pageLayout" zoomScaleNormal="120" workbookViewId="0">
      <selection activeCell="B17" sqref="B17"/>
    </sheetView>
  </sheetViews>
  <sheetFormatPr defaultRowHeight="15"/>
  <cols>
    <col min="1" max="1" width="4.1640625" style="120" bestFit="1" customWidth="1"/>
    <col min="2" max="2" width="65.33203125" style="120" bestFit="1" customWidth="1"/>
    <col min="3" max="3" width="14.6640625" style="691" bestFit="1" customWidth="1"/>
    <col min="4" max="16384" width="9.33203125" style="120"/>
  </cols>
  <sheetData>
    <row r="1" spans="1:3" ht="43.5" customHeight="1">
      <c r="A1" s="786" t="s">
        <v>540</v>
      </c>
      <c r="B1" s="786"/>
    </row>
    <row r="2" spans="1:3" ht="15.95" customHeight="1" thickBot="1">
      <c r="A2" s="121"/>
      <c r="B2" s="121"/>
      <c r="C2" s="692" t="s">
        <v>581</v>
      </c>
    </row>
    <row r="3" spans="1:3" ht="36.75" thickBot="1">
      <c r="A3" s="143" t="s">
        <v>12</v>
      </c>
      <c r="B3" s="144" t="s">
        <v>185</v>
      </c>
      <c r="C3" s="693" t="s">
        <v>692</v>
      </c>
    </row>
    <row r="4" spans="1:3" ht="15.75" thickBot="1">
      <c r="A4" s="145" t="s">
        <v>483</v>
      </c>
      <c r="B4" s="146" t="s">
        <v>484</v>
      </c>
      <c r="C4" s="694" t="s">
        <v>485</v>
      </c>
    </row>
    <row r="5" spans="1:3">
      <c r="A5" s="147" t="s">
        <v>14</v>
      </c>
      <c r="B5" s="148" t="s">
        <v>494</v>
      </c>
      <c r="C5" s="695">
        <v>127500000</v>
      </c>
    </row>
    <row r="6" spans="1:3" ht="24.75">
      <c r="A6" s="149" t="s">
        <v>15</v>
      </c>
      <c r="B6" s="150" t="s">
        <v>238</v>
      </c>
      <c r="C6" s="696"/>
    </row>
    <row r="7" spans="1:3">
      <c r="A7" s="149" t="s">
        <v>16</v>
      </c>
      <c r="B7" s="151" t="s">
        <v>495</v>
      </c>
      <c r="C7" s="696"/>
    </row>
    <row r="8" spans="1:3" ht="24.75">
      <c r="A8" s="149" t="s">
        <v>17</v>
      </c>
      <c r="B8" s="151" t="s">
        <v>239</v>
      </c>
      <c r="C8" s="696"/>
    </row>
    <row r="9" spans="1:3">
      <c r="A9" s="152" t="s">
        <v>18</v>
      </c>
      <c r="B9" s="151" t="s">
        <v>651</v>
      </c>
      <c r="C9" s="697">
        <v>200000</v>
      </c>
    </row>
    <row r="10" spans="1:3" ht="15.75" thickBot="1">
      <c r="A10" s="149" t="s">
        <v>19</v>
      </c>
      <c r="B10" s="153" t="s">
        <v>496</v>
      </c>
      <c r="C10" s="696"/>
    </row>
    <row r="11" spans="1:3" ht="15.75" thickBot="1">
      <c r="A11" s="795" t="s">
        <v>188</v>
      </c>
      <c r="B11" s="796"/>
      <c r="C11" s="698">
        <f>SUM(C5:C10)</f>
        <v>127700000</v>
      </c>
    </row>
    <row r="12" spans="1:3" ht="23.25" customHeight="1">
      <c r="A12" s="797" t="s">
        <v>214</v>
      </c>
      <c r="B12" s="797"/>
    </row>
  </sheetData>
  <mergeCells count="3">
    <mergeCell ref="A1:B1"/>
    <mergeCell ref="A11:B11"/>
    <mergeCell ref="A12:B12"/>
  </mergeCells>
  <phoneticPr fontId="6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tabColor rgb="FFFFFF00"/>
  </sheetPr>
  <dimension ref="A1:D8"/>
  <sheetViews>
    <sheetView view="pageLayout" zoomScaleNormal="120" workbookViewId="0">
      <selection activeCell="B9" sqref="B9"/>
    </sheetView>
  </sheetViews>
  <sheetFormatPr defaultRowHeight="15"/>
  <cols>
    <col min="1" max="1" width="5.6640625" style="120" customWidth="1"/>
    <col min="2" max="2" width="66.83203125" style="120" customWidth="1"/>
    <col min="3" max="3" width="27" style="120" customWidth="1"/>
    <col min="4" max="16384" width="9.33203125" style="120"/>
  </cols>
  <sheetData>
    <row r="1" spans="1:4" ht="33" customHeight="1">
      <c r="A1" s="786" t="s">
        <v>675</v>
      </c>
      <c r="B1" s="786"/>
      <c r="C1" s="786"/>
    </row>
    <row r="2" spans="1:4" ht="15.95" customHeight="1" thickBot="1">
      <c r="A2" s="121"/>
      <c r="B2" s="121"/>
      <c r="C2" s="122" t="s">
        <v>581</v>
      </c>
      <c r="D2" s="123"/>
    </row>
    <row r="3" spans="1:4" ht="26.25" customHeight="1" thickBot="1">
      <c r="A3" s="124" t="s">
        <v>12</v>
      </c>
      <c r="B3" s="125" t="s">
        <v>189</v>
      </c>
      <c r="C3" s="126" t="s">
        <v>213</v>
      </c>
    </row>
    <row r="4" spans="1:4" ht="15.75" thickBot="1">
      <c r="A4" s="127" t="s">
        <v>483</v>
      </c>
      <c r="B4" s="128" t="s">
        <v>484</v>
      </c>
      <c r="C4" s="129" t="s">
        <v>485</v>
      </c>
    </row>
    <row r="5" spans="1:4">
      <c r="A5" s="130" t="s">
        <v>14</v>
      </c>
      <c r="B5" s="131"/>
      <c r="C5" s="132"/>
    </row>
    <row r="6" spans="1:4">
      <c r="A6" s="133" t="s">
        <v>15</v>
      </c>
      <c r="B6" s="134"/>
      <c r="C6" s="135"/>
    </row>
    <row r="7" spans="1:4" ht="15.75" thickBot="1">
      <c r="A7" s="136" t="s">
        <v>16</v>
      </c>
      <c r="B7" s="137"/>
      <c r="C7" s="138"/>
    </row>
    <row r="8" spans="1:4" s="142" customFormat="1" ht="17.25" customHeight="1" thickBot="1">
      <c r="A8" s="139" t="s">
        <v>17</v>
      </c>
      <c r="B8" s="140" t="s">
        <v>190</v>
      </c>
      <c r="C8" s="141">
        <f>SUM(C5:C7)</f>
        <v>0</v>
      </c>
    </row>
  </sheetData>
  <mergeCells count="1">
    <mergeCell ref="A1:C1"/>
  </mergeCells>
  <phoneticPr fontId="6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 sz. mell (2-1)</vt:lpstr>
      <vt:lpstr>9.2. sz. mell (2-2)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 sz. mell (2-1)'!Nyomtatási_cím</vt:lpstr>
      <vt:lpstr>'9.2. sz. mell (2-2)'!Nyomtatási_cím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 tájékoztató t.'!Nyomtatási_terület</vt:lpstr>
      <vt:lpstr>'7. sz tájékoztató t.'!Nyomtatási_terület</vt:lpstr>
      <vt:lpstr>'7.sz.mell.'!Nyomtatási_terület</vt:lpstr>
      <vt:lpstr>'8. sz. 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titkarsag</cp:lastModifiedBy>
  <cp:lastPrinted>2019-02-17T14:59:57Z</cp:lastPrinted>
  <dcterms:created xsi:type="dcterms:W3CDTF">1999-10-30T10:30:45Z</dcterms:created>
  <dcterms:modified xsi:type="dcterms:W3CDTF">2019-03-05T07:46:31Z</dcterms:modified>
</cp:coreProperties>
</file>