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80" windowHeight="7005" firstSheet="11" activeTab="12"/>
  </bookViews>
  <sheets>
    <sheet name="Össz_Borító" sheetId="1" r:id="rId1"/>
    <sheet name="Össz_Összes bevétel" sheetId="2" r:id="rId2"/>
    <sheet name="Össz_Int.műk.bev. " sheetId="3" r:id="rId3"/>
    <sheet name="Össz_Önk.sajátos műk.bev." sheetId="4" r:id="rId4"/>
    <sheet name="Össz_költségv.tám." sheetId="5" r:id="rId5"/>
    <sheet name="Össz_Felhalmozási és tőke.bev" sheetId="6" r:id="rId6"/>
    <sheet name="Össz_Tám. ért. bev." sheetId="7" r:id="rId7"/>
    <sheet name="Össz_Átvett pe." sheetId="8" r:id="rId8"/>
    <sheet name="Össz_Összes kiadás" sheetId="9" r:id="rId9"/>
    <sheet name="Össz_működési kiadás" sheetId="10" r:id="rId10"/>
    <sheet name="Össz_Támogatásért." sheetId="11" r:id="rId11"/>
    <sheet name="Össz_Pe. átad. " sheetId="12" r:id="rId12"/>
    <sheet name="Össz_Szoc.alap" sheetId="13" r:id="rId13"/>
    <sheet name="Össz_Fejlesztések" sheetId="14" r:id="rId14"/>
    <sheet name="Össz_Mérleg" sheetId="15" r:id="rId15"/>
    <sheet name="Össz_Ei.felhaszn." sheetId="16" r:id="rId16"/>
    <sheet name="Össz_Likviditási" sheetId="17" r:id="rId17"/>
    <sheet name="Össz_Kötelező" sheetId="18" r:id="rId18"/>
    <sheet name="Össz_Normatívák" sheetId="19" r:id="rId19"/>
    <sheet name="Össz_Adósság" sheetId="20" r:id="rId20"/>
    <sheet name="Össz_EU-s tám." sheetId="21" r:id="rId21"/>
    <sheet name="Össz_többévi" sheetId="22" r:id="rId22"/>
    <sheet name="Körny.véd." sheetId="23" r:id="rId23"/>
    <sheet name="Közvetett" sheetId="24" r:id="rId24"/>
    <sheet name="ÖNK_Borító" sheetId="25" r:id="rId25"/>
    <sheet name="ÖNK_Összes bevétel" sheetId="26" r:id="rId26"/>
    <sheet name="ÖNK_Int.műk.bev. " sheetId="27" r:id="rId27"/>
    <sheet name="ÖNK_Önk.sajátos műk.bev." sheetId="28" r:id="rId28"/>
    <sheet name="ÖNK_költségv.tám." sheetId="29" r:id="rId29"/>
    <sheet name="ÖNK_Felhalmozási és tőke.bev." sheetId="30" r:id="rId30"/>
    <sheet name="ÖNK_Tám. ért. bev. " sheetId="31" r:id="rId31"/>
    <sheet name="ÖNK_Átvett pe." sheetId="32" r:id="rId32"/>
    <sheet name="ÖNK_Összes kiadás" sheetId="33" r:id="rId33"/>
    <sheet name="ÖNK_működési kiadás" sheetId="34" r:id="rId34"/>
    <sheet name="ÖNK_Támogatásért." sheetId="35" r:id="rId35"/>
    <sheet name="ÖNK_Pe. átad." sheetId="36" r:id="rId36"/>
    <sheet name="ÖNK_Szoc.alap" sheetId="37" r:id="rId37"/>
    <sheet name="ÖNK_Fejlesztések" sheetId="38" r:id="rId38"/>
    <sheet name="ÖNK_Mérleg" sheetId="39" r:id="rId39"/>
    <sheet name="ÖNK_Ei.felhaszn." sheetId="40" r:id="rId40"/>
    <sheet name="ÖNK_Likviditási " sheetId="41" r:id="rId41"/>
    <sheet name="ÖNK_Kötelező" sheetId="42" r:id="rId42"/>
    <sheet name="PH_Borító" sheetId="43" r:id="rId43"/>
    <sheet name="PH_Összes bevétel" sheetId="44" r:id="rId44"/>
    <sheet name="PH_Int.műk.bev." sheetId="45" r:id="rId45"/>
    <sheet name="PH_Tám. ért. bev." sheetId="46" r:id="rId46"/>
    <sheet name="PH_Átvett pe." sheetId="47" r:id="rId47"/>
    <sheet name="PH_Összes kiadás" sheetId="48" r:id="rId48"/>
    <sheet name="PH_működési kiadás" sheetId="49" r:id="rId49"/>
    <sheet name="PH_Pe. átad." sheetId="50" r:id="rId50"/>
    <sheet name="PH_Szoc.alap " sheetId="51" r:id="rId51"/>
    <sheet name="PH_Mérleg" sheetId="52" r:id="rId52"/>
    <sheet name="PH_Ei.felhaszn." sheetId="53" r:id="rId53"/>
    <sheet name="PH_Likviditási" sheetId="54" r:id="rId54"/>
    <sheet name="PH_Kötelező" sheetId="55" r:id="rId55"/>
    <sheet name="GAM_Borító" sheetId="56" r:id="rId56"/>
    <sheet name="GAM_Összes bevétel" sheetId="57" r:id="rId57"/>
    <sheet name="GAM_Int.műk.bev." sheetId="58" r:id="rId58"/>
    <sheet name="GAM_Felhalmozási és tőke.bev" sheetId="59" r:id="rId59"/>
    <sheet name="GAM_Tám. ért. bev." sheetId="60" r:id="rId60"/>
    <sheet name="GAM_Összes kiadás" sheetId="61" r:id="rId61"/>
    <sheet name="GAM_működési kiadás" sheetId="62" r:id="rId62"/>
    <sheet name="GAM_Fejlesztések" sheetId="63" r:id="rId63"/>
    <sheet name="GAM_Mérleg " sheetId="64" r:id="rId64"/>
    <sheet name="GAM_Ei.felhaszn." sheetId="65" r:id="rId65"/>
    <sheet name="GAM_Likviditási" sheetId="66" r:id="rId66"/>
    <sheet name="GAM_Kötelező" sheetId="67" r:id="rId67"/>
    <sheet name="ILMK_Borító" sheetId="68" r:id="rId68"/>
    <sheet name="ILMKÖsszes bevétel" sheetId="69" r:id="rId69"/>
    <sheet name="ILMKInt.műk.bev." sheetId="70" r:id="rId70"/>
    <sheet name="ILMK_Átvett" sheetId="71" r:id="rId71"/>
    <sheet name="ILMKÖsszes kiadás" sheetId="72" r:id="rId72"/>
    <sheet name="ILMK működési kiadás" sheetId="73" r:id="rId73"/>
    <sheet name="ILMK_Mérleg" sheetId="74" r:id="rId74"/>
    <sheet name="ILMK_Ei.felhaszn." sheetId="75" r:id="rId75"/>
    <sheet name="ILMK_Likviditási" sheetId="76" r:id="rId76"/>
    <sheet name="ILMK_Kötelező" sheetId="77" r:id="rId77"/>
    <sheet name="OVI_Borító" sheetId="78" r:id="rId78"/>
    <sheet name="OVI_Összes bevétel" sheetId="79" r:id="rId79"/>
    <sheet name="OVI_Tám. ért. bev." sheetId="80" r:id="rId80"/>
    <sheet name="OVI_Összes kiadás" sheetId="81" r:id="rId81"/>
    <sheet name="OVI_működési kiadás" sheetId="82" r:id="rId82"/>
    <sheet name="OVI_Mérleg" sheetId="83" r:id="rId83"/>
    <sheet name="OVI_Ei.felhaszn." sheetId="84" r:id="rId84"/>
    <sheet name="OVI_Likviditási" sheetId="85" r:id="rId85"/>
    <sheet name="OVI_Kötelező" sheetId="86" r:id="rId86"/>
  </sheets>
  <definedNames>
    <definedName name="_xlnm.Print_Area" localSheetId="55">'GAM_Borító'!$B$3:$I$56</definedName>
    <definedName name="_xlnm.Print_Area" localSheetId="64">'GAM_Ei.felhaszn.'!$B$2:$O$32</definedName>
    <definedName name="_xlnm.Print_Area" localSheetId="62">'GAM_Fejlesztések'!$A$1:$B$11</definedName>
    <definedName name="_xlnm.Print_Area" localSheetId="58">'GAM_Felhalmozási és tőke.bev'!$A$2:$B$18</definedName>
    <definedName name="_xlnm.Print_Area" localSheetId="57">'GAM_Int.műk.bev.'!$A$1:$B$34</definedName>
    <definedName name="_xlnm.Print_Area" localSheetId="66">'GAM_Kötelező'!$B$2:$I$19</definedName>
    <definedName name="_xlnm.Print_Area" localSheetId="65">'GAM_Likviditási'!$B$2:$P$28</definedName>
    <definedName name="_xlnm.Print_Area" localSheetId="63">'GAM_Mérleg '!$B$2:$F$23</definedName>
    <definedName name="_xlnm.Print_Area" localSheetId="61">'GAM_működési kiadás'!$A$1:$F$18</definedName>
    <definedName name="_xlnm.Print_Area" localSheetId="56">'GAM_Összes bevétel'!$A$1:$B$36</definedName>
    <definedName name="_xlnm.Print_Area" localSheetId="60">'GAM_Összes kiadás'!$B$1:$C$21</definedName>
    <definedName name="_xlnm.Print_Area" localSheetId="59">'GAM_Tám. ért. bev.'!$A$1:$B$10</definedName>
    <definedName name="_xlnm.Print_Area" localSheetId="72">'ILMK működési kiadás'!$A$1:$F$16</definedName>
    <definedName name="_xlnm.Print_Area" localSheetId="70">'ILMK_Átvett'!$A$1:$B$12</definedName>
    <definedName name="_xlnm.Print_Area" localSheetId="67">'ILMK_Borító'!$B$3:$I$58</definedName>
    <definedName name="_xlnm.Print_Area" localSheetId="74">'ILMK_Ei.felhaszn.'!$B$2:$O$32</definedName>
    <definedName name="_xlnm.Print_Area" localSheetId="76">'ILMK_Kötelező'!$B$1:$I$19</definedName>
    <definedName name="_xlnm.Print_Area" localSheetId="75">'ILMK_Likviditási'!$B$2:$P$28</definedName>
    <definedName name="_xlnm.Print_Area" localSheetId="73">'ILMK_Mérleg'!$B$2:$F$23</definedName>
    <definedName name="_xlnm.Print_Area" localSheetId="69">'ILMKInt.műk.bev.'!$A$1:$B$35</definedName>
    <definedName name="_xlnm.Print_Area" localSheetId="68">'ILMKÖsszes bevétel'!$A$1:$B$36</definedName>
    <definedName name="_xlnm.Print_Area" localSheetId="71">'ILMKÖsszes kiadás'!$B$1:$C$22</definedName>
    <definedName name="_xlnm.Print_Area" localSheetId="22">'Körny.véd.'!$A$2:$B$30</definedName>
    <definedName name="_xlnm.Print_Area" localSheetId="23">'Közvetett'!$B$1:$D$14</definedName>
    <definedName name="_xlnm.Print_Area" localSheetId="77">'OVI_Borító'!$B$3:$I$56</definedName>
    <definedName name="_xlnm.Print_Area" localSheetId="83">'OVI_Ei.felhaszn.'!$B$2:$O$32</definedName>
    <definedName name="_xlnm.Print_Area" localSheetId="85">'OVI_Kötelező'!$B$1:$I$13</definedName>
    <definedName name="_xlnm.Print_Area" localSheetId="84">'OVI_Likviditási'!$B$1:$P$28</definedName>
    <definedName name="_xlnm.Print_Area" localSheetId="82">'OVI_Mérleg'!$B$2:$F$23</definedName>
    <definedName name="_xlnm.Print_Area" localSheetId="81">'OVI_működési kiadás'!$A$1:$F$10</definedName>
    <definedName name="_xlnm.Print_Area" localSheetId="78">'OVI_Összes bevétel'!$A$1:$B$36</definedName>
    <definedName name="_xlnm.Print_Area" localSheetId="80">'OVI_Összes kiadás'!$B$1:$C$21</definedName>
    <definedName name="_xlnm.Print_Area" localSheetId="79">'OVI_Tám. ért. bev.'!$A$1:$B$11</definedName>
    <definedName name="_xlnm.Print_Area" localSheetId="31">'ÖNK_Átvett pe.'!$A$1:$B$20</definedName>
    <definedName name="_xlnm.Print_Area" localSheetId="24">'ÖNK_Borító'!$B$3:$I$58</definedName>
    <definedName name="_xlnm.Print_Area" localSheetId="39">'ÖNK_Ei.felhaszn.'!$B$2:$O$36</definedName>
    <definedName name="_xlnm.Print_Area" localSheetId="37">'ÖNK_Fejlesztések'!$A$1:$B$29</definedName>
    <definedName name="_xlnm.Print_Area" localSheetId="29">'ÖNK_Felhalmozási és tőke.bev.'!$A$2:$B$20</definedName>
    <definedName name="_xlnm.Print_Area" localSheetId="26">'ÖNK_Int.műk.bev. '!$A$1:$B$25</definedName>
    <definedName name="_xlnm.Print_Area" localSheetId="28">'ÖNK_költségv.tám.'!$A$1:$B$33</definedName>
    <definedName name="_xlnm.Print_Area" localSheetId="41">'ÖNK_Kötelező'!$B$2:$I$47</definedName>
    <definedName name="_xlnm.Print_Area" localSheetId="40">'ÖNK_Likviditási '!$B$2:$P$31</definedName>
    <definedName name="_xlnm.Print_Area" localSheetId="38">'ÖNK_Mérleg'!$B$2:$F$29</definedName>
    <definedName name="_xlnm.Print_Area" localSheetId="33">'ÖNK_működési kiadás'!$A$1:$F$34</definedName>
    <definedName name="_xlnm.Print_Area" localSheetId="27">'ÖNK_Önk.sajátos műk.bev.'!$A$1:$B$31</definedName>
    <definedName name="_xlnm.Print_Area" localSheetId="25">'ÖNK_Összes bevétel'!$A$1:$B$53</definedName>
    <definedName name="_xlnm.Print_Area" localSheetId="32">'ÖNK_Összes kiadás'!$B$1:$C$33</definedName>
    <definedName name="_xlnm.Print_Area" localSheetId="35">'ÖNK_Pe. átad.'!$A$1:$B$21</definedName>
    <definedName name="_xlnm.Print_Area" localSheetId="36">'ÖNK_Szoc.alap'!$A$2:$E$26</definedName>
    <definedName name="_xlnm.Print_Area" localSheetId="30">'ÖNK_Tám. ért. bev. '!$A$1:$B$17</definedName>
    <definedName name="_xlnm.Print_Area" localSheetId="34">'ÖNK_Támogatásért.'!$A$1:$B$26</definedName>
    <definedName name="_xlnm.Print_Area" localSheetId="19">'Össz_Adósság'!$B$2:$K$23</definedName>
    <definedName name="_xlnm.Print_Area" localSheetId="7">'Össz_Átvett pe.'!$A$1:$B$8</definedName>
    <definedName name="_xlnm.Print_Area" localSheetId="0">'Össz_Borító'!$B$3:$I$58</definedName>
    <definedName name="_xlnm.Print_Area" localSheetId="15">'Össz_Ei.felhaszn.'!$B$2:$O$35</definedName>
    <definedName name="_xlnm.Print_Area" localSheetId="20">'Össz_EU-s tám.'!$B$3:$E$18</definedName>
    <definedName name="_xlnm.Print_Area" localSheetId="13">'Össz_Fejlesztések'!$A$1:$B$9</definedName>
    <definedName name="_xlnm.Print_Area" localSheetId="5">'Össz_Felhalmozási és tőke.bev'!$A$2:$B$9</definedName>
    <definedName name="_xlnm.Print_Area" localSheetId="2">'Össz_Int.műk.bev. '!$A$1:$B$15</definedName>
    <definedName name="_xlnm.Print_Area" localSheetId="4">'Össz_költségv.tám.'!$A$1:$B$12</definedName>
    <definedName name="_xlnm.Print_Area" localSheetId="17">'Össz_Kötelező'!$B$1:$I$24</definedName>
    <definedName name="_xlnm.Print_Area" localSheetId="16">'Össz_Likviditási'!$B$2:$P$30</definedName>
    <definedName name="_xlnm.Print_Area" localSheetId="14">'Össz_Mérleg'!$B$2:$L$28</definedName>
    <definedName name="_xlnm.Print_Area" localSheetId="9">'Össz_működési kiadás'!$A$1:$F$14</definedName>
    <definedName name="_xlnm.Print_Area" localSheetId="18">'Össz_Normatívák'!$A$2:$F$40</definedName>
    <definedName name="_xlnm.Print_Area" localSheetId="3">'Össz_Önk.sajátos műk.bev.'!$A$1:$B$10</definedName>
    <definedName name="_xlnm.Print_Area" localSheetId="1">'Össz_Összes bevétel'!$A$1:$B$32</definedName>
    <definedName name="_xlnm.Print_Area" localSheetId="8">'Össz_Összes kiadás'!$B$1:$C$29</definedName>
    <definedName name="_xlnm.Print_Area" localSheetId="11">'Össz_Pe. átad. '!$A$1:$B$10</definedName>
    <definedName name="_xlnm.Print_Area" localSheetId="12">'Össz_Szoc.alap'!$A$2:$E$28</definedName>
    <definedName name="_xlnm.Print_Area" localSheetId="6">'Össz_Tám. ért. bev.'!$A$1:$B$8</definedName>
    <definedName name="_xlnm.Print_Area" localSheetId="10">'Össz_Támogatásért.'!$A$1:$B$11</definedName>
    <definedName name="_xlnm.Print_Area" localSheetId="21">'Össz_többévi'!$B$1:$M$21</definedName>
    <definedName name="_xlnm.Print_Area" localSheetId="46">'PH_Átvett pe.'!$A$1:$B$10</definedName>
    <definedName name="_xlnm.Print_Area" localSheetId="42">'PH_Borító'!$B$3:$I$58</definedName>
    <definedName name="_xlnm.Print_Area" localSheetId="52">'PH_Ei.felhaszn.'!$B$2:$O$32</definedName>
    <definedName name="_xlnm.Print_Area" localSheetId="44">'PH_Int.műk.bev.'!$A$1:$B$31</definedName>
    <definedName name="_xlnm.Print_Area" localSheetId="54">'PH_Kötelező'!$B$1:$I$15</definedName>
    <definedName name="_xlnm.Print_Area" localSheetId="53">'PH_Likviditási'!$B$2:$P$28</definedName>
    <definedName name="_xlnm.Print_Area" localSheetId="51">'PH_Mérleg'!$B$2:$F$23</definedName>
    <definedName name="_xlnm.Print_Area" localSheetId="48">'PH_működési kiadás'!$A$1:$F$15</definedName>
    <definedName name="_xlnm.Print_Area" localSheetId="43">'PH_Összes bevétel'!$A$1:$B$36</definedName>
    <definedName name="_xlnm.Print_Area" localSheetId="47">'PH_Összes kiadás'!$B$1:$C$23</definedName>
    <definedName name="_xlnm.Print_Area" localSheetId="49">'PH_Pe. átad.'!$A$1:$B$12</definedName>
    <definedName name="_xlnm.Print_Area" localSheetId="50">'PH_Szoc.alap '!$A$2:$E$19</definedName>
    <definedName name="_xlnm.Print_Area" localSheetId="45">'PH_Tám. ért. bev.'!$A$1:$B$11</definedName>
  </definedNames>
  <calcPr fullCalcOnLoad="1"/>
</workbook>
</file>

<file path=xl/comments30.xml><?xml version="1.0" encoding="utf-8"?>
<comments xmlns="http://schemas.openxmlformats.org/spreadsheetml/2006/main">
  <authors>
    <author>bakosine</author>
  </authors>
  <commentList>
    <comment ref="B17" authorId="0">
      <text>
        <r>
          <rPr>
            <b/>
            <sz val="8"/>
            <rFont val="Tahoma"/>
            <family val="2"/>
          </rPr>
          <t>bakosine:</t>
        </r>
        <r>
          <rPr>
            <sz val="8"/>
            <rFont val="Tahoma"/>
            <family val="2"/>
          </rPr>
          <t xml:space="preserve">
1303/13,14,15,17,20,21
</t>
        </r>
      </text>
    </comment>
  </commentList>
</comments>
</file>

<file path=xl/sharedStrings.xml><?xml version="1.0" encoding="utf-8"?>
<sst xmlns="http://schemas.openxmlformats.org/spreadsheetml/2006/main" count="2204" uniqueCount="793">
  <si>
    <t>Tanórán kívüli oktatás, nevelés</t>
  </si>
  <si>
    <t>Ibrány Városi Óvoda 2013. évi feladatainak
önkormányzati kötelező, nem kötelező és államigazgatási feladatellátás szerinti csoportosítása</t>
  </si>
  <si>
    <t>Óvodai nevelés</t>
  </si>
  <si>
    <t>824211 Ibrány Városi Óvoda</t>
  </si>
  <si>
    <t>Családsegítőt Fenntartó Társulásnak működési hozzájárulás</t>
  </si>
  <si>
    <t>Óvodafenntartó Társulásnak óvoda étkeztetés normatíva átadása</t>
  </si>
  <si>
    <t xml:space="preserve"> - Természetbeni támogatás /Szociális Erzsébet utalvány/</t>
  </si>
  <si>
    <r>
      <t xml:space="preserve">Közgyógyellátás </t>
    </r>
    <r>
      <rPr>
        <sz val="10"/>
        <rFont val="Arial CE"/>
        <family val="0"/>
      </rPr>
      <t>(Szoc.tv.) /méltányossági/</t>
    </r>
  </si>
  <si>
    <t>010-000-1 Fóliaházas mintagazdaság</t>
  </si>
  <si>
    <t>890-442-1 Hosszú időtartamú közfoglalkoztatás</t>
  </si>
  <si>
    <t>890-442-1 Startmunka program</t>
  </si>
  <si>
    <t>890-116-1 Komplex telep program</t>
  </si>
  <si>
    <t xml:space="preserve"> - 12. Könyvtári és közművelődési érdekeltségnövelő támogatás</t>
  </si>
  <si>
    <t xml:space="preserve"> - 13. A 2012. évről áthúzódó bérkompenzáció támogatása </t>
  </si>
  <si>
    <t xml:space="preserve"> - 16. Biztos Kezdet Gyermekházak támogatása </t>
  </si>
  <si>
    <t xml:space="preserve"> - 17. Lakott külterülettel kapcsolatos feladatok támogatása </t>
  </si>
  <si>
    <t xml:space="preserve"> - önkormányzat működésének általános támogatása</t>
  </si>
  <si>
    <t>8 havi összeg elismert hivatali létszám alapján 
2013. máj.-dec.</t>
  </si>
  <si>
    <t>Előirányzat</t>
  </si>
  <si>
    <t>I.1.b. Település üzemeltetés támogatása</t>
  </si>
  <si>
    <t xml:space="preserve">Általános feladatok támogatása összesen jan.-ápr. (a+b-c) </t>
  </si>
  <si>
    <t>Általános feladatok támogatása összesen máj.-dec. (a+b+c)</t>
  </si>
  <si>
    <t>00 09 01 01 04 01</t>
  </si>
  <si>
    <t xml:space="preserve">00 09 01 01 04 02 </t>
  </si>
  <si>
    <t xml:space="preserve">00 09 01 01 05 01 </t>
  </si>
  <si>
    <t>I. A helyi önkorm. működésének általános támogatása összesen</t>
  </si>
  <si>
    <t>2013. évi normatívák</t>
  </si>
  <si>
    <t xml:space="preserve">00 09 01 02 02 06 </t>
  </si>
  <si>
    <t>2012/2013 tanév (8 hó)</t>
  </si>
  <si>
    <t xml:space="preserve">00 09 01 02 02 07 </t>
  </si>
  <si>
    <t>2013/2014 tanév (4 hó)</t>
  </si>
  <si>
    <t>00 09 01 02 02 07</t>
  </si>
  <si>
    <t>00 09 01 02 03 00</t>
  </si>
  <si>
    <t>00 09 01 02 06 0B</t>
  </si>
  <si>
    <t xml:space="preserve">00 09 01 03 01 01 </t>
  </si>
  <si>
    <t>00 09 01 03 02</t>
  </si>
  <si>
    <t>Mutató</t>
  </si>
  <si>
    <t>Fajlagos</t>
  </si>
  <si>
    <t>Lakosságszám 2013. január 01.</t>
  </si>
  <si>
    <t>7067 fő</t>
  </si>
  <si>
    <t>e Ft</t>
  </si>
  <si>
    <t>Megnevezés</t>
  </si>
  <si>
    <t>Létszám
(fő)</t>
  </si>
  <si>
    <t>Összes
kiadás</t>
  </si>
  <si>
    <t xml:space="preserve">Mindösszesen: </t>
  </si>
  <si>
    <t>Összesen</t>
  </si>
  <si>
    <t xml:space="preserve"> - Hírlapértékesítés</t>
  </si>
  <si>
    <t xml:space="preserve"> - Antikkönyv bevétel</t>
  </si>
  <si>
    <t xml:space="preserve"> - Áru- és készletértékesítés</t>
  </si>
  <si>
    <t xml:space="preserve"> - Hirdetési díj bevétel</t>
  </si>
  <si>
    <t xml:space="preserve"> - Jegybevétel</t>
  </si>
  <si>
    <t xml:space="preserve"> - Video, DVD kölcsönzés</t>
  </si>
  <si>
    <t xml:space="preserve"> - Fotó bevétel</t>
  </si>
  <si>
    <t xml:space="preserve"> - Fénymásolás, kötészet bevétele</t>
  </si>
  <si>
    <t xml:space="preserve"> - Internet és számítógéphasználat bevétele</t>
  </si>
  <si>
    <t xml:space="preserve"> - Fax szolgáltatás</t>
  </si>
  <si>
    <t xml:space="preserve"> - Bérleti és lízingdíjak</t>
  </si>
  <si>
    <t xml:space="preserve"> - Kötbér, bírság, kártérítés, késedelmi díj bevétele</t>
  </si>
  <si>
    <t xml:space="preserve"> - ÁHT-n belülre továbbszámlázott szolgáltatások</t>
  </si>
  <si>
    <t xml:space="preserve"> - ÁHT-n kívülre továbbszámlázott szolgáltatások</t>
  </si>
  <si>
    <t xml:space="preserve"> - Államháztartáson kívülről származó kamat</t>
  </si>
  <si>
    <t xml:space="preserve"> - Árfolyamnyereség bevétele</t>
  </si>
  <si>
    <t xml:space="preserve"> - Működési kiadásokhoz kapcsolódó ÁFA visszatérülés</t>
  </si>
  <si>
    <t xml:space="preserve"> - Felhalmozási kiadásokhoz kapcsolódó ÁFA visszatérülés</t>
  </si>
  <si>
    <t xml:space="preserve"> - Kiszámlázott termékek és szolgáltatások ÁFA-ja</t>
  </si>
  <si>
    <t xml:space="preserve"> - Értékesített tárgyi eszközök, immateriális javak ÁFA-ja</t>
  </si>
  <si>
    <t>KÖLTSÉGVETÉSI BEVÉTELEK ÖSSZESEN:</t>
  </si>
  <si>
    <t>581-400-1 Hírlap</t>
  </si>
  <si>
    <t xml:space="preserve">910-121-1 Könyvtári állomány gyarapítása, nyilvántartása </t>
  </si>
  <si>
    <t>910-502-1 Művelődési Központ</t>
  </si>
  <si>
    <t>910-203-1 Helytörténeti Múzeum</t>
  </si>
  <si>
    <t>eFt</t>
  </si>
  <si>
    <t>Felhalmozási célú bevételek</t>
  </si>
  <si>
    <t>Összeg</t>
  </si>
  <si>
    <t>Felhalmozási célú kiadások</t>
  </si>
  <si>
    <t>Felhalmozási célú bevételek:</t>
  </si>
  <si>
    <t>Felhalmozási célú kiadások:</t>
  </si>
  <si>
    <t>Működési célú bevételek</t>
  </si>
  <si>
    <t>Működési célú kiadások</t>
  </si>
  <si>
    <t>Működési célú bevételek:</t>
  </si>
  <si>
    <t>Működési célú kiadások:</t>
  </si>
  <si>
    <t>1.1. Működési bevételek</t>
  </si>
  <si>
    <t>1.1.1. Intézményi működési bevételek</t>
  </si>
  <si>
    <t>1.1.1.1. Hatósági jogkörhöz kapcsolódó működési bevételek</t>
  </si>
  <si>
    <t>1.1.1.2. Intézményi működéshez kapcsolódó egyéb bevételek</t>
  </si>
  <si>
    <t>1.1.1.3. Intézmények egyéb sajátos bevételei</t>
  </si>
  <si>
    <t>1.1.1.4. Továbbszámlázott szolgáltatások bevételei</t>
  </si>
  <si>
    <t>1.1.1.5. Kamatbevételek, árfolyamnyereség bevétele</t>
  </si>
  <si>
    <t>1.1.1.6. ÁFA bevételek</t>
  </si>
  <si>
    <t>1.2. Támogatások</t>
  </si>
  <si>
    <t>1.3. Felhalmozási és tőkejellegű bevételek</t>
  </si>
  <si>
    <t>1.3.1. Tárgyi eszközök és immateriális javak értékesítése</t>
  </si>
  <si>
    <t>1.4. Támogatásértékű bevételek</t>
  </si>
  <si>
    <t>1.4.1. Támogatásértékű működési bevételek</t>
  </si>
  <si>
    <t>1.4.2. Támogatásértékű felhalmozási bevételek</t>
  </si>
  <si>
    <t>1.5. Véglegesen átvett pénzeszközök</t>
  </si>
  <si>
    <t>1.5.1. Működési célú pénzeszközátvétel államháztartáson kívülről</t>
  </si>
  <si>
    <t>1.5.2. Felhalmozási célú pénzeszközátvétel államháztartáson kívülről</t>
  </si>
  <si>
    <t>1.6. Költségvetési hiány belső finanszírozására szolgáló
       pénzforgalom nélküli bevételek</t>
  </si>
  <si>
    <t>1.6.1. Előző évek pénzmaradványának igénybevétele</t>
  </si>
  <si>
    <t>1.6.1.1. Működési célra</t>
  </si>
  <si>
    <t>1.6.1.2. Felhalmozási célra</t>
  </si>
  <si>
    <t>1.6.2. Előző évek vállalkozási maradványának igénybevétele</t>
  </si>
  <si>
    <t>1. BEVÉTELEK MINDÖSSZESEN:</t>
  </si>
  <si>
    <t>1.1.1.1 Hatósági jogkörhöz köthető bevételek</t>
  </si>
  <si>
    <t>1.1.1.2 Intézményi működéshez kapcsolódó egyéb bevételek</t>
  </si>
  <si>
    <t>1.1.1.3 Intézmények egyéb sajátos bevételek</t>
  </si>
  <si>
    <t>1.1.1.4 Továbbszámlázott szolgáltatások</t>
  </si>
  <si>
    <t>1.1.1.5 Kamatbevételek, árfolyamnyereség</t>
  </si>
  <si>
    <t>1.1.1.6 Áfa-bevételek</t>
  </si>
  <si>
    <t>1.1.1. Összes intézményi működési bevétel:</t>
  </si>
  <si>
    <t>2.1. Működési költségvetés kiadási előirányzatai</t>
  </si>
  <si>
    <t>2.1.1. Személyi juttatások</t>
  </si>
  <si>
    <t>2.1.2. Munkaadókat terhelő járulékok és szociális hozzájárulási adó</t>
  </si>
  <si>
    <t>2.1.3. Dologi kiadások</t>
  </si>
  <si>
    <t>2.1.4. Egyéb működési célú kiadások</t>
  </si>
  <si>
    <t>2.1.4.1. Támogatásértékű kiadások</t>
  </si>
  <si>
    <t>2.1.4.2. Pénzeszközátadások</t>
  </si>
  <si>
    <t>2.2. Felhalmozási költségvetés kiadási előirányzatai</t>
  </si>
  <si>
    <t>2.2.1. Intézményi beruházások</t>
  </si>
  <si>
    <t>2.2.2. Intézményi felújítások</t>
  </si>
  <si>
    <t>2.2.3. Egyéb felhalmozási kiadások</t>
  </si>
  <si>
    <t>2.2.3.1. Támogatásértékű kiadások</t>
  </si>
  <si>
    <t>2.2.3.2. Pénzeszközátadások</t>
  </si>
  <si>
    <t>2.1.1. 
Személyi</t>
  </si>
  <si>
    <t>2.1.2. 
Járulék</t>
  </si>
  <si>
    <t>2.1.3. 
Dologi</t>
  </si>
  <si>
    <t xml:space="preserve">1.5.2. Felhalmozási célú pénzeszközátvétel </t>
  </si>
  <si>
    <t>1.6.1.2. Előző évi pénzmaradvány felhasználása felhalmozási célra</t>
  </si>
  <si>
    <t>1. BEVÉTELEK ÖSSZESEN</t>
  </si>
  <si>
    <t>2. KIADÁSOK ÖSSZESEN</t>
  </si>
  <si>
    <t>1.6.1.1. Előző évi pénzmaradvány felhasználása működési célra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</si>
  <si>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</si>
  <si>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</si>
  <si>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</si>
  <si>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</si>
  <si>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</si>
  <si>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</si>
  <si>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</si>
  <si>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</si>
  <si>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</si>
  <si>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</si>
  <si>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</si>
  <si>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</si>
  <si>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</si>
  <si>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</si>
  <si>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1.6. Költségvetési hiány belső finanszírozására szolgáló
pénzforgalom nélküli bevételek</t>
  </si>
  <si>
    <t>1. Bevételek összesen:</t>
  </si>
  <si>
    <t>2. Kiadások összesen:</t>
  </si>
  <si>
    <t>Előző időszak záró pénzkészlete</t>
  </si>
  <si>
    <t xml:space="preserve"> + </t>
  </si>
  <si>
    <t xml:space="preserve"> - </t>
  </si>
  <si>
    <t>Tárgyidőszak záró pénzkészlete:</t>
  </si>
  <si>
    <t xml:space="preserve"> = </t>
  </si>
  <si>
    <t>Ibrányi László 
Művelődési Központ és Könyvtár</t>
  </si>
  <si>
    <t>Ibrány Város Képviselő-Testülete Gazdasági, Műszaki, Ellátó és Szolgáltató Szervezete</t>
  </si>
  <si>
    <t xml:space="preserve"> - Temetőfenntartási hozzájárulás</t>
  </si>
  <si>
    <t xml:space="preserve"> - Sírhely újraváltás díja</t>
  </si>
  <si>
    <t xml:space="preserve"> - Egyéb sajátos bevételek</t>
  </si>
  <si>
    <t>841-403-1 Város-, községgazd. m.n.s. szolgáltatások</t>
  </si>
  <si>
    <t xml:space="preserve"> - Adatszolgáltatási, kifüggesztési díj bevétele</t>
  </si>
  <si>
    <t xml:space="preserve"> - Esküvőszervezés</t>
  </si>
  <si>
    <t xml:space="preserve"> - Egyéb hatósági, felügyeleti, engedélyezési díjak</t>
  </si>
  <si>
    <t>1.1.1.3 Intézmények egyéb sajátos bevételei</t>
  </si>
  <si>
    <t xml:space="preserve"> - Gondozási díj</t>
  </si>
  <si>
    <t>7. melléklet</t>
  </si>
  <si>
    <t>a) Működési célú (ÁHT-n belülről):</t>
  </si>
  <si>
    <t xml:space="preserve"> - Gyermekjóléti szolgálatra kistérségtől</t>
  </si>
  <si>
    <t xml:space="preserve"> - Családsegítőre kistérségtől</t>
  </si>
  <si>
    <t>b) Felhalmozási célú (ÁHT-n belülről):</t>
  </si>
  <si>
    <t>helyi önkormányzatoktól és költségvetési szerveiktől (felúj)</t>
  </si>
  <si>
    <t>Támogatásértékű bevételek összesen:</t>
  </si>
  <si>
    <t>841-112-1 Önkormányzati jogalkotás</t>
  </si>
  <si>
    <t>841-126-1 Igazgatás</t>
  </si>
  <si>
    <t>841-133-1 Adócsoport</t>
  </si>
  <si>
    <t>841-192-1 Állami és önkormányzati rendezvények</t>
  </si>
  <si>
    <t>841-325-1 Építésügy</t>
  </si>
  <si>
    <t>842-155-1 Testvérvárosi kapcsolattartás</t>
  </si>
  <si>
    <t xml:space="preserve"> - Uszoda bevétel</t>
  </si>
  <si>
    <t>Ibrány Város Önkormányzata</t>
  </si>
  <si>
    <t xml:space="preserve"> - magánszemélyek kommunális adója</t>
  </si>
  <si>
    <t xml:space="preserve"> - idegenforgalmi adó</t>
  </si>
  <si>
    <t xml:space="preserve"> - iparűzési adó</t>
  </si>
  <si>
    <t xml:space="preserve"> - SZJA helyben maradó része (8%)</t>
  </si>
  <si>
    <t xml:space="preserve"> - SZJA kiegészítés (jövedelem különbség mérséklésére)</t>
  </si>
  <si>
    <t xml:space="preserve"> - SZJA normatív módon elosztott része</t>
  </si>
  <si>
    <t xml:space="preserve"> - Termőföld bérbeadásból származó jövedelemadó</t>
  </si>
  <si>
    <t xml:space="preserve"> - Átengedett egyéb központi adók</t>
  </si>
  <si>
    <t xml:space="preserve"> - önkormányzati lakások lakbérbevétele</t>
  </si>
  <si>
    <t xml:space="preserve"> - önkormányzati egyéb helyiségek bérbeadásából származó bevétel</t>
  </si>
  <si>
    <t xml:space="preserve"> - egyéb sajátos bevételek</t>
  </si>
  <si>
    <t>1.1.2. Önkormányzatok sajátos működési bevételei</t>
  </si>
  <si>
    <t>1.1.2.1. Illetékek</t>
  </si>
  <si>
    <t>1.1.2.2. Helyi adók</t>
  </si>
  <si>
    <t>1.1.2.3. Átengedett központi adók</t>
  </si>
  <si>
    <t xml:space="preserve"> - helyi adóhoz kapcsolódó pótlékok</t>
  </si>
  <si>
    <t xml:space="preserve"> - helyszíni és szabálysértési bírságok</t>
  </si>
  <si>
    <t xml:space="preserve"> - Gépjárműadó</t>
  </si>
  <si>
    <t>1.1.2.4. Bírságok, pótlékok</t>
  </si>
  <si>
    <t>1.1.2.5. Egyéb sajátos bevételek</t>
  </si>
  <si>
    <t xml:space="preserve"> - környezetvédelmi bírság</t>
  </si>
  <si>
    <t xml:space="preserve"> - építésügyi bírság</t>
  </si>
  <si>
    <t xml:space="preserve"> - talajterhelési díj</t>
  </si>
  <si>
    <t xml:space="preserve"> - mezőőri járulék</t>
  </si>
  <si>
    <t>1.2.1. Önkormányzatok költségvetési támogatása</t>
  </si>
  <si>
    <t>1.2.1.7. Előző évi központi költségvetési kiegészítések, visszatérülések</t>
  </si>
  <si>
    <t>1.1.2. Önkormányzatok sajátos működési bevételei összesen</t>
  </si>
  <si>
    <t>1.2.1. Önkormányzatok költségvetési támogatása összesen</t>
  </si>
  <si>
    <t>1.2.1.3. Központosított előirányzatok</t>
  </si>
  <si>
    <t>1.2.1.5. Címzett és céltámogatások</t>
  </si>
  <si>
    <t>1.2.1.6. Önkormányzatok egyéb központi támogatása</t>
  </si>
  <si>
    <t>1.3.2. Önkormányzatok sajátos felhalmozási és tőkebevételei</t>
  </si>
  <si>
    <t xml:space="preserve"> - Föld, telek értékesítése</t>
  </si>
  <si>
    <t xml:space="preserve"> - Ingatlanok és a kapcsolódó vagyoni értékű jogok értékesítése</t>
  </si>
  <si>
    <t xml:space="preserve"> - Gépjárművek értékesítése</t>
  </si>
  <si>
    <t xml:space="preserve"> - Önkormányzati lakások értékesítése</t>
  </si>
  <si>
    <t xml:space="preserve"> - Önkormányzati egyéb helyiségek értékesítése</t>
  </si>
  <si>
    <t xml:space="preserve"> - Önkormányzati lakótelkek értékesítése</t>
  </si>
  <si>
    <t xml:space="preserve"> - Önkormányzati vagyon bérbeadása</t>
  </si>
  <si>
    <t>1.3. Felhalmozási és tőkejellegű bevételek összesen:</t>
  </si>
  <si>
    <t>1.4. Támogatásértékű bevételek összesen</t>
  </si>
  <si>
    <t xml:space="preserve"> - Agrártermelési támogatás</t>
  </si>
  <si>
    <t xml:space="preserve"> - Gyermekház támogatása</t>
  </si>
  <si>
    <t xml:space="preserve"> - Gyermektartásdíj megelőlegezés</t>
  </si>
  <si>
    <t xml:space="preserve"> - OEP iskolaegészségügyre</t>
  </si>
  <si>
    <t>1.5. Véglegesen átvett pénzeszközök összesen</t>
  </si>
  <si>
    <t>1.7. Költségvetési hiány külső finanszírozása</t>
  </si>
  <si>
    <t>1.7.1. Értékpapírok értékesítésének bevétele</t>
  </si>
  <si>
    <t>1.7.2. Kötvények kibocsátásának bevétele</t>
  </si>
  <si>
    <t>1.7.3. Támogatási kölcsön visszatérülése</t>
  </si>
  <si>
    <t>1.7.4. Hitelfelvétel</t>
  </si>
  <si>
    <t>1.7.4.1. Működési célú hitel felvétele</t>
  </si>
  <si>
    <t>1.7.4.2. Felhalmozási célú hitel felvétele</t>
  </si>
  <si>
    <t>841-402-1 Közvilágítás</t>
  </si>
  <si>
    <t>841-403-1 Mezőőrök</t>
  </si>
  <si>
    <t>869-042-1 Iskolaegészségügy</t>
  </si>
  <si>
    <t>882-115-1 Ápolási díj alanyi jogon</t>
  </si>
  <si>
    <t>889-109-1 Gyermekház</t>
  </si>
  <si>
    <t>Nemzetiségi önkormányzat helyi önkormányzati támogatása</t>
  </si>
  <si>
    <t>Ibrány-Nagyhalász Vízrendezési Társulás működési hozzájárulás</t>
  </si>
  <si>
    <t>Önkéntes tűzoltóság támogatása</t>
  </si>
  <si>
    <t>Polgárőrség működési támogatása</t>
  </si>
  <si>
    <t>Sporttámogatás</t>
  </si>
  <si>
    <t>Helyettes szülői</t>
  </si>
  <si>
    <t>Medi-Amb KFT-nek Járóbeteg Szakellátóhoz átadott pénzeszköz</t>
  </si>
  <si>
    <t>Egyéb (Bizottsági Hatáskörbe utalt)</t>
  </si>
  <si>
    <t>Egyéb (Polgármesteri hatáskörbe utalt)</t>
  </si>
  <si>
    <t>Egyéb szervek tám.későbbi KT döntéshez</t>
  </si>
  <si>
    <t>2.1.4.1. Működési célú támogatásértékű kiadások</t>
  </si>
  <si>
    <t>2.1.4.2. Működési célú pénzeszközátadások</t>
  </si>
  <si>
    <t>2.2.3.1. Felhalmozási célú támogatásértékű kiadások</t>
  </si>
  <si>
    <t>2.2.3.2. Felhalmozási célú pénzeszközátadások</t>
  </si>
  <si>
    <t>Támogatásértékű kiadások összesen</t>
  </si>
  <si>
    <t>Pénzeszközátadások összesen:</t>
  </si>
  <si>
    <t>2.1.4.3. Szociális jellegű ellátások</t>
  </si>
  <si>
    <t>Fő</t>
  </si>
  <si>
    <t>Saját erő</t>
  </si>
  <si>
    <t>Támogatás</t>
  </si>
  <si>
    <t>Foglalkoztatást helyettesítő támogatás</t>
  </si>
  <si>
    <r>
      <t>Lakásfenntartási támogatás természetben (normatív) /</t>
    </r>
    <r>
      <rPr>
        <sz val="8"/>
        <rFont val="Arial CE"/>
        <family val="0"/>
      </rPr>
      <t>Szoc.tv./</t>
    </r>
  </si>
  <si>
    <t>Ápolási díj normatív /Szoc.tv./</t>
  </si>
  <si>
    <t>Átmeneti segély pénzbeli</t>
  </si>
  <si>
    <t>Átmeneti segély természetben (rendkívüli)</t>
  </si>
  <si>
    <t>Temetési segély</t>
  </si>
  <si>
    <t>Mozgáskorlátozottak támogatása</t>
  </si>
  <si>
    <t>Önkormányzati kiegészítés</t>
  </si>
  <si>
    <t>Óvodáztatási támogatás pénzben (Gyvt.)</t>
  </si>
  <si>
    <t>Óvodáztatási támogatás természetben (Gyvt.)</t>
  </si>
  <si>
    <t>Köztemetés</t>
  </si>
  <si>
    <t>Gyermektartásdíj megelőlegezés</t>
  </si>
  <si>
    <t>Hadigondozott</t>
  </si>
  <si>
    <t>2. Összes kiadás:</t>
  </si>
  <si>
    <t>2.1.4.3. Szociális jellegű ellátások összesen:</t>
  </si>
  <si>
    <t>Start munka program tárgyi eszköz beszerzés</t>
  </si>
  <si>
    <t>2.2.1. Intézményi beruházások összesen:</t>
  </si>
  <si>
    <t>2.2.2. Intézményi felújítások összesen:</t>
  </si>
  <si>
    <t>Fejlesztési kiadások összesen:</t>
  </si>
  <si>
    <t>1.8. Kiegyenlítő, függő, átfutó bevételek</t>
  </si>
  <si>
    <t>2.2.3.3. Felhalmozási célú hitel kamata</t>
  </si>
  <si>
    <t>2.3. Felhalmozási célú hitel törlesztése</t>
  </si>
  <si>
    <t>2.5. Kiegyenlítő, függő, átfutó kiadások</t>
  </si>
  <si>
    <t>2.4. Általános tartalék</t>
  </si>
  <si>
    <t>Intézményfinanszírozás összege</t>
  </si>
  <si>
    <t xml:space="preserve"> - Működési célú intézményfinanszírozás</t>
  </si>
  <si>
    <t xml:space="preserve"> - Felhalmozási célú intézményfinanszírozás</t>
  </si>
  <si>
    <t>1. BEVÉTELEK ÖSSZESEN:</t>
  </si>
  <si>
    <t>BEVÉTELEK MINDÖSSZESEN:</t>
  </si>
  <si>
    <t>Felhalmozási célú intézményfinanszírozás</t>
  </si>
  <si>
    <t>Működési célú intézményfinanszírozás</t>
  </si>
  <si>
    <t>732264 Ibrány Város Önkormányzata</t>
  </si>
  <si>
    <t>404420 Ibrány Város Képviselő-Testülete GAMESZ</t>
  </si>
  <si>
    <t>658777 Ibrányi László Művelődési Központ és Könyvtár</t>
  </si>
  <si>
    <t>Kiadások mindösszesen:</t>
  </si>
  <si>
    <t xml:space="preserve"> Ft</t>
  </si>
  <si>
    <t>Jogcím
 száma</t>
  </si>
  <si>
    <t>1.</t>
  </si>
  <si>
    <t>2.</t>
  </si>
  <si>
    <t>5.</t>
  </si>
  <si>
    <t>7.</t>
  </si>
  <si>
    <t>10.</t>
  </si>
  <si>
    <t>Összesen:</t>
  </si>
  <si>
    <t>Ft</t>
  </si>
  <si>
    <t>Sorszám</t>
  </si>
  <si>
    <t>Adósságállomány
eszközök szerint</t>
  </si>
  <si>
    <t>Fizetési határidő</t>
  </si>
  <si>
    <t>Nem lejárt</t>
  </si>
  <si>
    <t>Lejárt</t>
  </si>
  <si>
    <t>Összes
tartozás</t>
  </si>
  <si>
    <t>1-90 nap
közötti</t>
  </si>
  <si>
    <t>91-180 nap
közötti</t>
  </si>
  <si>
    <t>181-360 nap
közötti</t>
  </si>
  <si>
    <t>360 napon
túli</t>
  </si>
  <si>
    <t>Összes 
lejárt tartozás</t>
  </si>
  <si>
    <t>E.on</t>
  </si>
  <si>
    <t>Nyír-Lift Kft.</t>
  </si>
  <si>
    <t>3.</t>
  </si>
  <si>
    <t>4.</t>
  </si>
  <si>
    <t>6.</t>
  </si>
  <si>
    <t>8.</t>
  </si>
  <si>
    <t>9.</t>
  </si>
  <si>
    <t>Egyéb rövid lejáratú kötelezettségek</t>
  </si>
  <si>
    <t>Helyi adó túlfizetés miatti kötelezettség</t>
  </si>
  <si>
    <t>Egyéb adókkal kapcsolatos előző évi túlfizetés</t>
  </si>
  <si>
    <t>Egyéb adókkal kapcsolatos tárgyévi túlfizetés</t>
  </si>
  <si>
    <t>Adósságállomány összesen:</t>
  </si>
  <si>
    <t>Többéves kihatással járó döntésekből származó kötelezettségek célok szerint, évenkénti bontásban</t>
  </si>
  <si>
    <t>Kötelezettség jogcíme</t>
  </si>
  <si>
    <t>Felvett hitel
összege
(eFt-ban)</t>
  </si>
  <si>
    <t>Kötelezettség-
vállalás éve</t>
  </si>
  <si>
    <t>Lejárata</t>
  </si>
  <si>
    <t>Kötelezettségek a tárgyévben és az azt követő években</t>
  </si>
  <si>
    <t>2013.</t>
  </si>
  <si>
    <t>2014.</t>
  </si>
  <si>
    <t>2015.</t>
  </si>
  <si>
    <t>Beruházási hitelszerződés
BH-5160/2005.</t>
  </si>
  <si>
    <t>tőke</t>
  </si>
  <si>
    <t>2005.</t>
  </si>
  <si>
    <t>2020.</t>
  </si>
  <si>
    <t>kamat</t>
  </si>
  <si>
    <t>Beruházási hitelszerződés
BH-4197/2006.</t>
  </si>
  <si>
    <t>2006.</t>
  </si>
  <si>
    <t>Beruházási hitelszerződés
3366/2008.</t>
  </si>
  <si>
    <t>2008.</t>
  </si>
  <si>
    <t>2018.</t>
  </si>
  <si>
    <t>Beruházási hitelszerződés
4908/2009.</t>
  </si>
  <si>
    <t>2009.</t>
  </si>
  <si>
    <t>2019.</t>
  </si>
  <si>
    <t>MFB hitel I.</t>
  </si>
  <si>
    <t>2.1.4.4. Működési célú kamatkiadás</t>
  </si>
  <si>
    <t>CIB hitel G3R-052619</t>
  </si>
  <si>
    <t>2010.</t>
  </si>
  <si>
    <t>2030.</t>
  </si>
  <si>
    <t>2016.</t>
  </si>
  <si>
    <t>Talajterhelési díj felhasználása</t>
  </si>
  <si>
    <t>Talajterhelési díj</t>
  </si>
  <si>
    <t>Környezetvédelmi bírság</t>
  </si>
  <si>
    <t xml:space="preserve">Bevételek összesen: </t>
  </si>
  <si>
    <t>Magánszemélyek kommunális adójából</t>
  </si>
  <si>
    <t xml:space="preserve">Környezetvédelmi programhoz kapcsolódó kiadások összesen: </t>
  </si>
  <si>
    <t>Kommunális adó felhasználása</t>
  </si>
  <si>
    <t>Környezetvédelmi bírság felhasználása</t>
  </si>
  <si>
    <t>Magánszemélyek kommunális adójából nyújtott kedvezmény összesen</t>
  </si>
  <si>
    <t>1. melléklet</t>
  </si>
  <si>
    <t>2. melléklet</t>
  </si>
  <si>
    <t>3. melléklet</t>
  </si>
  <si>
    <t>4. melléklet</t>
  </si>
  <si>
    <t>5. melléklet</t>
  </si>
  <si>
    <t>6.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</si>
  <si>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</si>
  <si>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</si>
  <si>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</si>
  <si>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</si>
  <si>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</si>
  <si>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</si>
  <si>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15. melléklet</t>
  </si>
  <si>
    <t>16. melléklet</t>
  </si>
  <si>
    <t>17. melléklet</t>
  </si>
  <si>
    <t>18. melléklet</t>
  </si>
  <si>
    <t>65. életévét betöltött egyedül élő nőnek, férfinak, a korhatár elérését követő évtől</t>
  </si>
  <si>
    <t>70. életévüket (mindketten) betöltött házaspárnak, a korhatár elérését követő évtől</t>
  </si>
  <si>
    <t>Aki saját háztartásában három, vagy több kiskorú gyermek eltartásáról gondoskodik</t>
  </si>
  <si>
    <t>Ibrány Város Képviselő-Testülete 27./2011. (2012.01.01.) önkormányzati rendelete alapján</t>
  </si>
  <si>
    <t>23. melléklet</t>
  </si>
  <si>
    <t>24. melléklet</t>
  </si>
  <si>
    <t>25. melléklet</t>
  </si>
  <si>
    <t>26. melléklet</t>
  </si>
  <si>
    <t>27. melléklet</t>
  </si>
  <si>
    <t>28. melléklet</t>
  </si>
  <si>
    <t>29. melléklet</t>
  </si>
  <si>
    <t>30. melléklet</t>
  </si>
  <si>
    <t>31. melléklet</t>
  </si>
  <si>
    <t>32. melléklet</t>
  </si>
  <si>
    <t>33. melléklet</t>
  </si>
  <si>
    <t>34. melléklet</t>
  </si>
  <si>
    <t>38. melléklet</t>
  </si>
  <si>
    <t>39. melléklet</t>
  </si>
  <si>
    <t>40. melléklet</t>
  </si>
  <si>
    <t>41. melléklet</t>
  </si>
  <si>
    <t>42. melléklet</t>
  </si>
  <si>
    <t>43. melléklet</t>
  </si>
  <si>
    <t>45. melléklet</t>
  </si>
  <si>
    <t>47. melléklet</t>
  </si>
  <si>
    <t>50. melléklet</t>
  </si>
  <si>
    <t>52. melléklet</t>
  </si>
  <si>
    <t>57. melléklet</t>
  </si>
  <si>
    <t>62. melléklet</t>
  </si>
  <si>
    <t>64. melléklet</t>
  </si>
  <si>
    <t>66. melléklet</t>
  </si>
  <si>
    <t>1. Cím</t>
  </si>
  <si>
    <t>2. Cím</t>
  </si>
  <si>
    <t>3. Cím</t>
  </si>
  <si>
    <t>4. Cím</t>
  </si>
  <si>
    <t>680-001-1 Lakóingatlan bérbeadása, üzemeltetése</t>
  </si>
  <si>
    <t>812-000-1 Takarítás</t>
  </si>
  <si>
    <t>813-000-1 Zöldterület-kezelés</t>
  </si>
  <si>
    <t xml:space="preserve">960-302-1 Köztemető-fenntartás és működtetés </t>
  </si>
  <si>
    <t>932-911-1 Szabadidős park, fürdő és strandszolgáltatás</t>
  </si>
  <si>
    <t xml:space="preserve">680-002-1 Nem lakóingatlan bérbeadása, üzemeltetése </t>
  </si>
  <si>
    <t>932-911-1 Uszoda</t>
  </si>
  <si>
    <t xml:space="preserve">522-001-1  Út- híd </t>
  </si>
  <si>
    <t>680-001-1 Lakásgazdálkodás</t>
  </si>
  <si>
    <t>841-191-1 Nemzeti ünnepek (márc.15.,aug.20.,okt.23.)</t>
  </si>
  <si>
    <t>44. melléklet</t>
  </si>
  <si>
    <t>51. melléklet</t>
  </si>
  <si>
    <t>65. melléklet</t>
  </si>
  <si>
    <t>2.1.4.5. Előző év(ek)i maradvány visszafizetése</t>
  </si>
  <si>
    <t>67. melléklet</t>
  </si>
  <si>
    <t xml:space="preserve"> - Munkaügyi Központtól kapott bértámogatás</t>
  </si>
  <si>
    <t>Nyári gyermekétkeztetés</t>
  </si>
  <si>
    <t>841-126-4 Önkormányzatok igazgatása /beruházások dologi kiadásai/</t>
  </si>
  <si>
    <t xml:space="preserve"> - EU önerő támogatás ibrányi részének átvétele 
   Ibrány-Nagyhalász Vízrendezési Társulástól</t>
  </si>
  <si>
    <t xml:space="preserve"> - Gép, berendezés, felszerelés értékesítése</t>
  </si>
  <si>
    <t>53. melléklet</t>
  </si>
  <si>
    <t>54. melléklet</t>
  </si>
  <si>
    <t>61. melléklet</t>
  </si>
  <si>
    <t>71. melléklet</t>
  </si>
  <si>
    <t>72. melléklet</t>
  </si>
  <si>
    <t>1.2.1.3. Önkormányzatok költségvetési támogatása</t>
  </si>
  <si>
    <t>I.1.a Önkormányzati hivatal működésének támogatása</t>
  </si>
  <si>
    <t>4 havi összeg átmeneti támogatás 2013. jan-ápr. összesen</t>
  </si>
  <si>
    <t>I.1.c. Beszámítás összege</t>
  </si>
  <si>
    <t xml:space="preserve">I.1.d. Egyéb kötelező önkormányzati feladatok támogatása (d) </t>
  </si>
  <si>
    <t>II. A települési önkorm. köznevelési és gyermek étkeztetési feladatainak támogatása</t>
  </si>
  <si>
    <t>III.3. Egyes szociális és gyermekjóléti feladatok támogatása összesen</t>
  </si>
  <si>
    <t>III. Települési önk. szoc. és gyermekjóléti feladatainak támogatása összesen</t>
  </si>
  <si>
    <t>I+II+III. Támogatás összesen</t>
  </si>
  <si>
    <t>II.1.(1) 2 Pedagógusok bértámogatása</t>
  </si>
  <si>
    <t>II.1.(1) 1 Pedagógusok bértámogatása</t>
  </si>
  <si>
    <t>II.1.(2) 1 Segítők bértámogatása</t>
  </si>
  <si>
    <t>II.1.(2) 2 Segítők bértámogatása</t>
  </si>
  <si>
    <t>II.2.(1) Óvoda működtetési támogatás összesen</t>
  </si>
  <si>
    <t>II.2.(2) Óvoda működtetési támogatás összesen</t>
  </si>
  <si>
    <t>II.3. Ingyenes és kedvezményes étkeztetés közoktatásban összesen</t>
  </si>
  <si>
    <t>III.2. Hozzájárulás a pénzbeli szociális ellátásokhoz</t>
  </si>
  <si>
    <t>III.3.a Szociális és gyermekjóléti általános feladatok</t>
  </si>
  <si>
    <t>IV.1.d Települési önkormányzatok támogatása a nyilvános könyvtári és közművelődési feladatokhoz</t>
  </si>
  <si>
    <t xml:space="preserve">00 09 01 04 01 </t>
  </si>
  <si>
    <t>IV.1. Könyvtári és közművelődési feladatok támogatása összesen</t>
  </si>
  <si>
    <t>III.1. Egyes jövedelempótló támogatások</t>
  </si>
  <si>
    <t>Magyarország 2013. évi központi költségvetéséről szóló 2012. évi CCIV. törvény
2. melléklete szerinti támogatás összesen:</t>
  </si>
  <si>
    <t>IX.1.1.</t>
  </si>
  <si>
    <t>IX.1.2.</t>
  </si>
  <si>
    <t>IX.1.3.</t>
  </si>
  <si>
    <t>IX.1.4.</t>
  </si>
  <si>
    <t>A települési önkormányzatok kulturális feladatainak támogatása</t>
  </si>
  <si>
    <t xml:space="preserve"> - 1. Lakossági közműfejlesztés támogatása </t>
  </si>
  <si>
    <t xml:space="preserve"> - 6. Helyi szervezési intézkedésekhez kapcsolódó többletkiadások támogatása</t>
  </si>
  <si>
    <t xml:space="preserve"> - 8. Önkormányzatok és társulásaik európai uniós fejlesztési pályázatai
   saját forrás kiegészítésének támogatása</t>
  </si>
  <si>
    <t xml:space="preserve"> - 9. Gyermekszegénység elleni program keretében nyári étkeztetés biztosítása</t>
  </si>
  <si>
    <t xml:space="preserve"> - 10. Önkormányzati feladatellátást szolgáló fejlesztések </t>
  </si>
  <si>
    <t xml:space="preserve"> - köznevelési és gyermekétkeztetési feladatok támogatása</t>
  </si>
  <si>
    <t xml:space="preserve"> - szociális és gyermekjóléti feladatok támogatása</t>
  </si>
  <si>
    <t xml:space="preserve"> - kulturális feladatok támogatása</t>
  </si>
  <si>
    <t>1.2.1.1. Normatív támogatások /nettósításban/</t>
  </si>
  <si>
    <t>1.2.1.2. Normatív támogatások /igénylés/</t>
  </si>
  <si>
    <t>1.2.1.4. Helyi önkormányzatok kiegészítő támogatásai</t>
  </si>
  <si>
    <t xml:space="preserve"> - 2013. évi kompenzáció</t>
  </si>
  <si>
    <t xml:space="preserve"> - Vis maior támogatás</t>
  </si>
  <si>
    <t>Óvodafenntartó Társulásnak működési hozzájárulás óvodához</t>
  </si>
  <si>
    <r>
      <t xml:space="preserve">Rendszeres szociális segély </t>
    </r>
    <r>
      <rPr>
        <sz val="8"/>
        <rFont val="Arial CE"/>
        <family val="0"/>
      </rPr>
      <t xml:space="preserve">/Szoc. tv./ </t>
    </r>
  </si>
  <si>
    <t>Természetbeni támogatás /Gyvt./ (Erzsébet utalvány)</t>
  </si>
  <si>
    <t xml:space="preserve"> - Természetbeni támogatás /Erzsébet utalvány/</t>
  </si>
  <si>
    <t>Közgyógyellátás (Szoc.tv.)</t>
  </si>
  <si>
    <t>Kifizetendő</t>
  </si>
  <si>
    <t>Ápolási díj normatív /Szoc.tv./ 2012. dec.hó</t>
  </si>
  <si>
    <r>
      <t xml:space="preserve">Időskorúak járadéka </t>
    </r>
    <r>
      <rPr>
        <sz val="8"/>
        <rFont val="Arial CE"/>
        <family val="0"/>
      </rPr>
      <t>/Szoc.tv./ 2012. dec. hó</t>
    </r>
  </si>
  <si>
    <t xml:space="preserve"> - Komplex telep program támogatása</t>
  </si>
  <si>
    <t>Komplex telep program ingatlanberuházás</t>
  </si>
  <si>
    <t>Komplex telep program irodai berendezések, felszerelések</t>
  </si>
  <si>
    <t xml:space="preserve"> - Hosszú közfoglalkoztatás támogatása (70%)</t>
  </si>
  <si>
    <t xml:space="preserve"> - Belvíz pályázat elszámolás (ÉAOP)
   Ibrány-Nagyhalász Vízrendezési Társulással</t>
  </si>
  <si>
    <t>841-126-6 Kistérségi Társulás megszüntetésével kapcsolatos kiadás (pm.)</t>
  </si>
  <si>
    <t xml:space="preserve"> - Fóliaházas mintagazdaság bevétele</t>
  </si>
  <si>
    <t xml:space="preserve"> - 2013. évi Start munka program 8 órás (100%)</t>
  </si>
  <si>
    <t xml:space="preserve"> - 2013. évi Start munka program tárgyi eszköz beszerzésre</t>
  </si>
  <si>
    <t>Ibrány Város Önkormányzatának várható adósságállománya 2012. december 31-én</t>
  </si>
  <si>
    <t>Sz.Sz.B.Megyei Könyvtárak Egyesülete</t>
  </si>
  <si>
    <t>Magyar Posta</t>
  </si>
  <si>
    <t>Magyar Telekom Nyrt.</t>
  </si>
  <si>
    <t>Tárgyévi költségvetést terhelő szállítók</t>
  </si>
  <si>
    <t>Ibrány Város Önkormányzata által 
2013. évben nyújtott közvetett támogatások</t>
  </si>
  <si>
    <t>Polgármesteri Hivatal létesítése (Kistérségi épület átalakítása)</t>
  </si>
  <si>
    <t xml:space="preserve"> - Gyermekétkeztetés</t>
  </si>
  <si>
    <t xml:space="preserve"> - Vendég ebéd térítési díja</t>
  </si>
  <si>
    <t xml:space="preserve"> - Alkalmazottak térítési díja</t>
  </si>
  <si>
    <t xml:space="preserve"> - Gépi kaszálás bevétele</t>
  </si>
  <si>
    <t>562-912-1 Óvodai intézményi étkeztetés</t>
  </si>
  <si>
    <t>562-913-1 Iskolai intézményi étkeztetés</t>
  </si>
  <si>
    <t>680-002-1 Iskola működtetési kiadásai</t>
  </si>
  <si>
    <t>TÁMOP-5.3.6-11/1-2012-0024 Komplex telep program támogatása</t>
  </si>
  <si>
    <t>Környezetvédelmi alap várható összege 2013.</t>
  </si>
  <si>
    <t>Homlokzatfelújítási és lakóépület rehabilitációs alap várható összege 2013.</t>
  </si>
  <si>
    <t>1.2.1.1. Normatív támogatás /nettósításban/</t>
  </si>
  <si>
    <t>1.2.1.2. Normatív támogatás /igénylés alapján/</t>
  </si>
  <si>
    <t xml:space="preserve"> - 2. Szerkezetátalakítási tartalékból</t>
  </si>
  <si>
    <t xml:space="preserve"> - 1. Önkormányzati fejezeti tartalékból</t>
  </si>
  <si>
    <t>Óvodafenntartó Társulásnak normatíva átadása óvodához</t>
  </si>
  <si>
    <t>Ibrányi László Művelődési Központ és Könyvtár 2013. évi államháztartáson kívülről átvett pénzeszközei</t>
  </si>
  <si>
    <t>a) ÁHT-n kívülről átvett működési célú pénzeszköz</t>
  </si>
  <si>
    <t>b) ÁHT-n kívülről átvett felhalmozási célú pénzeszköz</t>
  </si>
  <si>
    <t>Államháztartáson kívülről átvett pénzeszközök összesen:</t>
  </si>
  <si>
    <t>2013. évi összesített költségvetése</t>
  </si>
  <si>
    <t>Ibrány Város Önkormányzata és költségvetési szervei 2013. évi bevételei</t>
  </si>
  <si>
    <t>2013. évi 
EI.</t>
  </si>
  <si>
    <t>2013. évi 
előirányzat</t>
  </si>
  <si>
    <t>Ibrány Város Önkormányzata és költségvetési szervei
2013. évi intézményi működési bevételei</t>
  </si>
  <si>
    <t xml:space="preserve">2013. évi
előirányzat </t>
  </si>
  <si>
    <t xml:space="preserve">Ibrány Város Önkormányzata és költségvetési szervei 
2013. évi sajátos működési bevételei   </t>
  </si>
  <si>
    <t>2013. évi
előirányzat</t>
  </si>
  <si>
    <t>1.4. Államháztartáson belülről átvett pénzeszközök</t>
  </si>
  <si>
    <t>1.5. Államháztartáson kívülről átvett pénzeszközök</t>
  </si>
  <si>
    <t>Ibrány Város Önkormányzata és költségvetési szervei 
2013. évi költségvetési támogatása</t>
  </si>
  <si>
    <t>1.2.1.2. Normatív támogatások /igénylés alapján/</t>
  </si>
  <si>
    <t>Ibrány Város Önkormányzata és költségvetési szervei
2013. évi  felhalmozási és tőkejellegű bevételei</t>
  </si>
  <si>
    <t xml:space="preserve">2013. év </t>
  </si>
  <si>
    <t>Ibrány Város Önkormányzata és költségvetési szervei 
2013. évi államháztartáson belülről átvett pénzeszközei</t>
  </si>
  <si>
    <t>1.4.1. ÁHT-n belülről átvett működési célú pénzeszközök</t>
  </si>
  <si>
    <t>1.4.2. ÁHT-n belülről átvett felhalmozási célú pénzeszközök</t>
  </si>
  <si>
    <t>1.4. Államháztartáson belülről átvett pénzeszközök összesen</t>
  </si>
  <si>
    <t>Ibrány Város Önkormányzata és költségvetési szervei
2013. évi államháztartáson kívülről átvett pénzeszközei</t>
  </si>
  <si>
    <t>1.5. Államháztartáson kívülről átvett pénzeszközök összesen</t>
  </si>
  <si>
    <t>Ibrány Város Önkormányzata és költségvetési szervei 
2013. évi kiadásai</t>
  </si>
  <si>
    <t>2.1.4.1. Működési célú államháztartáson belülre átadott pénzeszközök</t>
  </si>
  <si>
    <t>2.1.4.2. Működési célú államháztartáson kívülre átadott pénzeszközök</t>
  </si>
  <si>
    <t>2.2.3.1. Felhalmozási célú államháztartáson belülre átadott pénzeszközök</t>
  </si>
  <si>
    <t>2.2.3.2. Felhalmozási célú államháztartáson kívülre átadott pénzeszközök</t>
  </si>
  <si>
    <t>Ibrány Város Önkormányzata és költségvetési szervei 2013. évi működési kiadásai</t>
  </si>
  <si>
    <t>Ibrány Város Önkormányzata és költségvetési szervei 
2013. évi államháztartáson belülre átadott pénzeszközei</t>
  </si>
  <si>
    <t>2.2.3.1. Felhalmozási célú  államháztartáson belülre átadott pénzeszközök</t>
  </si>
  <si>
    <t>Államháztartáson belülre átadott pénzeszközök összesen</t>
  </si>
  <si>
    <t>MIK-nek gimnázium étkeztetés normatíva átadása</t>
  </si>
  <si>
    <t>Ibrány Város Önkormányzata és költségvetési szervei 
2013. évi államháztartáson kívülre átadott pénzeszközei</t>
  </si>
  <si>
    <t>2.1.4.2. Működési célú pénzeszközátadások ÁHT-n kívülre</t>
  </si>
  <si>
    <t>2.2.3.2. Felhalmozási célú pénzeszközátadások ÁHT-n kívülre</t>
  </si>
  <si>
    <t>Államháztartáson kívülre átadott pénzeszközök összesen:</t>
  </si>
  <si>
    <t>2013. évi szociális jellegű juttatások</t>
  </si>
  <si>
    <t>Ibrány Város Önkormányzata 2013. évi fejlesztési kiadásai</t>
  </si>
  <si>
    <t>2014. évi 
várható</t>
  </si>
  <si>
    <t>2011. évi 
tény</t>
  </si>
  <si>
    <t>Ibrány Város Önkormányzata és költségvetési szervei 2013. évi előirányzat felhasználási ütemterve</t>
  </si>
  <si>
    <t>Ibrány Város Önkormányzata és költségvetési szervei 2013. évi likviditási terve</t>
  </si>
  <si>
    <t>19. melléklet</t>
  </si>
  <si>
    <t>11.</t>
  </si>
  <si>
    <t>12.</t>
  </si>
  <si>
    <t>13.</t>
  </si>
  <si>
    <t>20.melléklet</t>
  </si>
  <si>
    <t>21. melléklet</t>
  </si>
  <si>
    <t>22.melléklet</t>
  </si>
  <si>
    <t>2013. évi költségvetése</t>
  </si>
  <si>
    <t>Ibrány Város Önkormányzata 2013. évi bevételei</t>
  </si>
  <si>
    <t>1.2.1.4. Helyi önkormányzatok kiegészítő támogatása</t>
  </si>
  <si>
    <t>Ibrány Város Önkormányzata
2013. évi intézményi működési bevételei</t>
  </si>
  <si>
    <t xml:space="preserve">Ibrány Város Önkormányzata 2013. évi sajátos működési bevételei   </t>
  </si>
  <si>
    <t>Ibrány Város Önkormányzata 2013. évi költségvetési támogatása</t>
  </si>
  <si>
    <t>Ibrány Város Önkormányzata 
2013. évi  felhalmozási és tőkejellegű bevételei</t>
  </si>
  <si>
    <t>Ibrány Város Önkormányzata 
2013. évi államháztartáson belülről átvett pénzeszközei</t>
  </si>
  <si>
    <t>Ibrány Város Önkormányzata 
2013. évi államháztartáson kívülről átvett pénzeszközei</t>
  </si>
  <si>
    <t>Ibrány Város Önkormányzata 2013. évi kiadásai</t>
  </si>
  <si>
    <t>Ibrány Város Önkormányzata 2013. évi működési kiadásai</t>
  </si>
  <si>
    <t>Ibrány Város Önkormányzata
 2013. évi államháztartáson belülre átadott pénzeszközei</t>
  </si>
  <si>
    <t>Ibrány Város Önkormányzata 2013. évi átadott pénzeszközei</t>
  </si>
  <si>
    <t>35. melléklet</t>
  </si>
  <si>
    <t>Ibrány Város Önkormányzata 2013. évi szociális jellegű juttatásai</t>
  </si>
  <si>
    <r>
      <t xml:space="preserve">Időskorúak járadéka </t>
    </r>
    <r>
      <rPr>
        <sz val="8"/>
        <rFont val="Arial CE"/>
        <family val="0"/>
      </rPr>
      <t>/Szoc.tv./ 2012. dec. havi</t>
    </r>
  </si>
  <si>
    <r>
      <t xml:space="preserve">Ápolási díj normatív /Szoc.tv./ </t>
    </r>
    <r>
      <rPr>
        <sz val="9"/>
        <rFont val="Arial CE"/>
        <family val="0"/>
      </rPr>
      <t>2012. dec. havi</t>
    </r>
  </si>
  <si>
    <t xml:space="preserve">36. melléklet </t>
  </si>
  <si>
    <t>Ibrány Város Önkormányzata 2013. évi előirányzat felhasználási ütemterve</t>
  </si>
  <si>
    <t>Ibrány Város Önkormányzata 2013. évi Likviditási terve</t>
  </si>
  <si>
    <t>1.4.1. Államháztartáson belülről átvett működési célú pénzeszközök</t>
  </si>
  <si>
    <t>1.4.2. Államháztartáson belülről átvett felhalmozási célú pénzeszközök</t>
  </si>
  <si>
    <t>Ibrányi Polgármesteri Hivatal</t>
  </si>
  <si>
    <t>404419 Ibrányi Polgármesteri Hivatal</t>
  </si>
  <si>
    <t xml:space="preserve"> -</t>
  </si>
  <si>
    <t>Ibrányi Polgármesteri Hivatal 2013. évi bevételei</t>
  </si>
  <si>
    <t>Ibrányi Polgármesteri Hivatal
2013. évi intézményi működési bevételei</t>
  </si>
  <si>
    <t>Ibrányi Polgármesteri Hivatal 
2013. évi államháztartáson belülről átvett pénzeszközei</t>
  </si>
  <si>
    <t>Ibrányi Polgármesteri Hivatal 2013. évi kiadásai</t>
  </si>
  <si>
    <t>Ibrányi Polgármesteri Hivatal 2013. évi működési kiadásai</t>
  </si>
  <si>
    <t>46. melléklet</t>
  </si>
  <si>
    <t>Ibrányi Polgármesteri Hivatal 2013. évi 
államháztartáson kívülre átadott pénzeszközei</t>
  </si>
  <si>
    <t>Ibrányi Polgármesteri Hivatal 2013. évi szociális jellegű juttatásai</t>
  </si>
  <si>
    <r>
      <t xml:space="preserve">Időskorúak járadéka </t>
    </r>
    <r>
      <rPr>
        <sz val="8"/>
        <rFont val="Arial CE"/>
        <family val="0"/>
      </rPr>
      <t>/Szoc.tv./</t>
    </r>
  </si>
  <si>
    <t>Ibrányi Polgármesteri Hivatal 2013. évi előirányzat felhasználási ütemterve</t>
  </si>
  <si>
    <t>Ibrányi Polgármesteri Hivatal 2013. évi Likviditási terve</t>
  </si>
  <si>
    <t>GAMESZ 2013. évi bevételei</t>
  </si>
  <si>
    <t>2013. évi
 előirányzat</t>
  </si>
  <si>
    <t>GAMESZ 2013. évi intézményi működési bevételei</t>
  </si>
  <si>
    <t>GAMESZ
2013. évi  felhalmozási és tőkejellegű bevételei</t>
  </si>
  <si>
    <t>55. melléklet</t>
  </si>
  <si>
    <t>GAMESZ 2013. évi támogatásértékű bevételei</t>
  </si>
  <si>
    <t>56. melléklet</t>
  </si>
  <si>
    <t>GAMESZ 2013. évi kiadásai</t>
  </si>
  <si>
    <t>GAMESZ  2013. évi működési kiadásai</t>
  </si>
  <si>
    <t>GAMESZ  2013. évi felhalmozási kiadásai</t>
  </si>
  <si>
    <t>GAMESZ 2013. évi előirányzat felhasználási ütemterve</t>
  </si>
  <si>
    <t>GAMESZ 2013. évi Likviditási terve</t>
  </si>
  <si>
    <t>63. melléklet</t>
  </si>
  <si>
    <t xml:space="preserve"> Ibrányi László Művelődési Központ és Könyvtár 2013. évi bevételei</t>
  </si>
  <si>
    <t xml:space="preserve"> ILMK 2013. évi intézményi működési bevételei</t>
  </si>
  <si>
    <t>2013. évi előirányzat</t>
  </si>
  <si>
    <t>Ibrányi László Művelődési Központ és Könyvtár 
2013. évi kiadásai</t>
  </si>
  <si>
    <t>Ibrányi László Művelődési Központ és Könyvtár 2013. évi működési kiadásai</t>
  </si>
  <si>
    <t>Ibrányi László Művelődési Központ és Könyvtár 2013. évi előirányzat felhasználási ütemterve</t>
  </si>
  <si>
    <t>70. melléklet</t>
  </si>
  <si>
    <t>Ibrányi László Művelődési Központ és Könyvtár 2013. évi Likviditási terve</t>
  </si>
  <si>
    <t>73. melléklet</t>
  </si>
  <si>
    <t>Ibrány Város és Térsége Gyermekjóléti Szolgálat és Családsegítő Szolgálat 2013. évi államháztartáson belülről átvett pénzeszközei</t>
  </si>
  <si>
    <t>74. melléklet</t>
  </si>
  <si>
    <t>75. melléklet</t>
  </si>
  <si>
    <t>78. melléklet</t>
  </si>
  <si>
    <t>79. melléklet</t>
  </si>
  <si>
    <t>Ibrány Város Önkormányzata 
és költségvetési szervei</t>
  </si>
  <si>
    <t>Óvodafenntartó Társulásnak működési hozzájárulás társuláshoz</t>
  </si>
  <si>
    <t xml:space="preserve">Ingatlanvásárlás </t>
  </si>
  <si>
    <t>Pályázatok előkészítése</t>
  </si>
  <si>
    <t>Fóliasátras mintagazdaság - LEADER támogatás</t>
  </si>
  <si>
    <t>Rendezvény háttértechnikájának fejlesztése - LEADER</t>
  </si>
  <si>
    <t>Homlokzatfelújítási és lakóépület rehabilitációs alap felhasználása</t>
  </si>
  <si>
    <t xml:space="preserve">Homlokzatfelújítási és lakóépület rehabilitációs alaphoz kapcsolódó kiadások összesen: </t>
  </si>
  <si>
    <t>KEOP napelempark saját erő kiegészítés</t>
  </si>
  <si>
    <t>Ibrány Város Önkormányzata és költségvetési szervei 2013. évi feladatainak
önkormányzati kötelező, nem kötelező és államigazgatási feladatellátás szerinti csoportosítása</t>
  </si>
  <si>
    <t>Ibrány Város Önkormányzata 2013. évi feladatainak
önkormányzati kötelező, nem kötelező és államigazgatási feladatellátás szerinti csoportosítása</t>
  </si>
  <si>
    <t>Ibrányi Polgármesteri Hivatal 2013. évi feladatainak
önkormányzati kötelező, nem kötelező és államigazgatási feladatellátás szerinti csoportosítása</t>
  </si>
  <si>
    <t>GAMESZ Ibrány 2013. évi feladatainak
önkormányzati kötelező, nem kötelező és államigazgatási feladatellátás szerinti csoportosítása</t>
  </si>
  <si>
    <t>ILMK 2013. évi feladatainak
önkormányzati kötelező, nem kötelező és államigazgatási feladatellátás szerinti csoportosítása</t>
  </si>
  <si>
    <t>2012. 12. 31-én
fennálló tőketartozás</t>
  </si>
  <si>
    <t>2017.</t>
  </si>
  <si>
    <t>2018.
és ezt követő
években</t>
  </si>
  <si>
    <t>Fóliaházas mintagazdaság</t>
  </si>
  <si>
    <t>Személyi</t>
  </si>
  <si>
    <t>Járulék</t>
  </si>
  <si>
    <t>Dologi</t>
  </si>
  <si>
    <t>Út-híd</t>
  </si>
  <si>
    <t>Lakásgazdálkodás</t>
  </si>
  <si>
    <t>Önkormányzati jogalkotás</t>
  </si>
  <si>
    <t>Közvilágítás</t>
  </si>
  <si>
    <t>Iskolához kapcsolódó kiadások</t>
  </si>
  <si>
    <t>Kistérségi Társulás megszűnésével kapcsolatos kiadások</t>
  </si>
  <si>
    <t>Iskolaegészségügy</t>
  </si>
  <si>
    <t>Gyermekház</t>
  </si>
  <si>
    <t>Komplex telep program</t>
  </si>
  <si>
    <t>Közfoglalkoztatás</t>
  </si>
  <si>
    <t>Uszoda</t>
  </si>
  <si>
    <t>Mezőőrök</t>
  </si>
  <si>
    <t>Önkormányzati kötelező feladatok ellátása:</t>
  </si>
  <si>
    <t>Önként vállalt feladatok ellátása:</t>
  </si>
  <si>
    <t>Államigazgatási feladatok ellátása:</t>
  </si>
  <si>
    <t>Roma Nemzetiségi Önkormányzat támogatása</t>
  </si>
  <si>
    <t>Óvodafenntartó Társulásnak működtetésre átadott pénzeszközök</t>
  </si>
  <si>
    <t>MIK-nek gimnáziumi étkeztetés normatíva átadása</t>
  </si>
  <si>
    <t>Sényő Önkormányzatnak óvodai étkeztetés normatíva átadása</t>
  </si>
  <si>
    <t>Vízrendezési Társulásnak belterületi vízrendezésre</t>
  </si>
  <si>
    <t>Szociális ellátások</t>
  </si>
  <si>
    <t>Beruházások és felújítások</t>
  </si>
  <si>
    <t>Egyéb
működési</t>
  </si>
  <si>
    <t>Működési kiadás
összesen</t>
  </si>
  <si>
    <t>Felhalmozási
kiadások</t>
  </si>
  <si>
    <t>Kiadások
összesen</t>
  </si>
  <si>
    <t>Nem lakóingatlan bérbeadása, üzemeltetése</t>
  </si>
  <si>
    <t>Takarítás</t>
  </si>
  <si>
    <t>Polgármesteri Hivatal működtetése</t>
  </si>
  <si>
    <t>Szociális és gyermekjóléti ellátások</t>
  </si>
  <si>
    <t>Óvodai intézményi étkeztetés</t>
  </si>
  <si>
    <t>Iskolai intézményi étkeztetés</t>
  </si>
  <si>
    <t>Iskola működtetésének kiadásai</t>
  </si>
  <si>
    <t>Zöldterület-kezelés</t>
  </si>
  <si>
    <t>Város- és községgazdálkodási feladatok</t>
  </si>
  <si>
    <t>Köztemető fenntartás és működtetés</t>
  </si>
  <si>
    <t>Helytörténeti Múzeum</t>
  </si>
  <si>
    <t>Könyvtár</t>
  </si>
  <si>
    <t>Művelődési Központ</t>
  </si>
  <si>
    <t>Ibrányi Hírlap</t>
  </si>
  <si>
    <t>ILMK</t>
  </si>
  <si>
    <t>GAMESZ</t>
  </si>
  <si>
    <t>Napelempark létesítése</t>
  </si>
  <si>
    <t>Óvodafejlesztés</t>
  </si>
  <si>
    <t>KEOP támogatásból</t>
  </si>
  <si>
    <t>ÉAOP támogatásból</t>
  </si>
  <si>
    <t>Sportcsarnok felújítás</t>
  </si>
  <si>
    <t>Pályázatok megnevezése</t>
  </si>
  <si>
    <t>Komplex telep program
TÁMOP-5.3.6-11/1-2012-0024</t>
  </si>
  <si>
    <t>Támogatásból</t>
  </si>
  <si>
    <t>Saját erőből</t>
  </si>
  <si>
    <t>Központi Orvosi Ügyelet működtetésének támogatása</t>
  </si>
  <si>
    <t>Pályázati támogatásból megvalósuló önként vállalt feladatok:</t>
  </si>
  <si>
    <t>Testvérvárosi kapcsolattartás</t>
  </si>
  <si>
    <t>Részben támogatásból megvalósuló önként vállalt feladatok:</t>
  </si>
  <si>
    <t>Saját bevételekből megvalósuló önként vállalt feladatok:</t>
  </si>
  <si>
    <t>Nemzeti ünnepek kulturális rendezvényeinek kiadásai</t>
  </si>
  <si>
    <t>Önkormányzati rendezvények kiadásai</t>
  </si>
  <si>
    <t>Uszoda (PPP)</t>
  </si>
  <si>
    <t>Tűzoltóság támogatása</t>
  </si>
  <si>
    <t>Polgárőrség támogatása</t>
  </si>
  <si>
    <t>Saját erő és EU saját erő kiegészítés</t>
  </si>
  <si>
    <t>ÉAOP- Óvodafejlesztés - saját erő átadása Ibrány-Sényő Társulásnak</t>
  </si>
  <si>
    <t>Tiszabercel Önkormányzat 2012. évi elszámolás</t>
  </si>
  <si>
    <t>Kistérségtől átvett pénzeszköz átadása Sényő Tagóvodának</t>
  </si>
  <si>
    <t>Klebersberg Intézményfenntartó Központ 2012. évi elszámolás (esélyegyenlőség)</t>
  </si>
  <si>
    <t xml:space="preserve"> - Erdő értékesítése</t>
  </si>
  <si>
    <t>Tisza-parti lemezes építmény</t>
  </si>
  <si>
    <t>Lehel úti szabadidőpark építmények</t>
  </si>
  <si>
    <t>4006, 4008 hrsz. föld</t>
  </si>
  <si>
    <t>0127/7,17 hrsz. föld</t>
  </si>
  <si>
    <t>395/1 hrsz. telek</t>
  </si>
  <si>
    <t>113,114 hrsz. telek</t>
  </si>
  <si>
    <t>Lehel úti szabadidőpark telkek</t>
  </si>
  <si>
    <t>Számítógép vásárlás</t>
  </si>
  <si>
    <t>Klímaberendezések</t>
  </si>
  <si>
    <t>Képzőművészeti alkotás vásárlása</t>
  </si>
  <si>
    <t>Mindennapos testnevelés pályázat</t>
  </si>
  <si>
    <t>Szociális célú városrehabilitáció</t>
  </si>
  <si>
    <t>Integrált településfejlesztés</t>
  </si>
  <si>
    <t>Mindennapos testnevelés</t>
  </si>
  <si>
    <t>Ibrány Város Polgármesteri Hivatala
2012. I. félévi véglegesen átvett pénzeszközeinek összege</t>
  </si>
  <si>
    <t>Megelőlegezett gyermektartásdíj visszafizetése</t>
  </si>
  <si>
    <t>2013. évi
EI.</t>
  </si>
  <si>
    <t>2013. évi EI.</t>
  </si>
  <si>
    <t>Óvodafenntartó Társulásnak bérkompenzáció átadása óvodához</t>
  </si>
  <si>
    <t xml:space="preserve"> - Adósságkonszolidáció (működési célú)</t>
  </si>
  <si>
    <t xml:space="preserve"> - Adósságkonszolidáció (felhalmozási célú)</t>
  </si>
  <si>
    <t>2.6. Működési célú hitel törlesztés</t>
  </si>
  <si>
    <t>842-541-1 Vis maior eseményekhez kapcsolódó dologi kiadások</t>
  </si>
  <si>
    <t>2.6. Működési célú hitel törlesztése</t>
  </si>
  <si>
    <t xml:space="preserve"> - Nyári gyermekétkeztetés</t>
  </si>
  <si>
    <t>2.6. Működési célú hiteltörlesztés</t>
  </si>
  <si>
    <t>Vis maior eseményekhez kapcsolódó kiadások</t>
  </si>
  <si>
    <t>Tiszabercel Önkormányzat közoktatási intézmény 2012. évi elszámolás</t>
  </si>
  <si>
    <t>Sényői Tagóvoda 2012. évi elszámolás</t>
  </si>
  <si>
    <t>Egyéb szervek támogatása</t>
  </si>
  <si>
    <t>2012. évi 
tény</t>
  </si>
  <si>
    <t>2.6. Működési célú hitel felvétele</t>
  </si>
  <si>
    <t>48. melléklet</t>
  </si>
  <si>
    <t>58. melléklet</t>
  </si>
  <si>
    <t xml:space="preserve">59. melléklet </t>
  </si>
  <si>
    <t>68. melléklet</t>
  </si>
  <si>
    <t>76. melléklet</t>
  </si>
  <si>
    <t>80. melléklet</t>
  </si>
  <si>
    <t>Ibrány Városi Óvoda</t>
  </si>
  <si>
    <t>Ibrány Városi Óvoda
 2013. évi bevételei</t>
  </si>
  <si>
    <t>Ibrány Városi Óvoda
2013. évi kiadásai</t>
  </si>
  <si>
    <t>Ibrány Városi Óvoda 2013. évi működési kiadásai</t>
  </si>
  <si>
    <t>851-011-1 Óvodai nevelés</t>
  </si>
  <si>
    <t>Ibrány Városi Óvoda  2013. évi előirányzat felhasználási ütemterve</t>
  </si>
  <si>
    <t>Ibrány Városi Óvoda 2013. évi Likviditási terve</t>
  </si>
  <si>
    <t xml:space="preserve"> - "Itthon vagy - Magyarország, szeretlek!" program támogatása</t>
  </si>
  <si>
    <t>KEOP-Napelempark létesítése</t>
  </si>
  <si>
    <t>Napelempark KEOP támogatás</t>
  </si>
  <si>
    <t>LEADER sportcsarnok felújítás</t>
  </si>
  <si>
    <t>LEADER sportcsarnok saját erő kiegészítés</t>
  </si>
  <si>
    <t>Sportcsarnok LEADER támogatás</t>
  </si>
  <si>
    <t>NFÜ-ÉAOP-4.1.1/A-11-2012-0012 támogatás óvodafejlesztésre</t>
  </si>
  <si>
    <t>NFÜ-ÉAOP-4.1.1/A-11-2012-0012 óvodafejlesztés</t>
  </si>
  <si>
    <t>Családsegítőt Fenntartó Társulásnak működtetésre átadott pénzeszközök</t>
  </si>
  <si>
    <t xml:space="preserve"> - Egyéb szolgáltatási bevételek</t>
  </si>
  <si>
    <t xml:space="preserve"> - MAN típusú teherautó</t>
  </si>
  <si>
    <t xml:space="preserve"> - Szárzúzó gép</t>
  </si>
  <si>
    <t xml:space="preserve"> - Szárító gép</t>
  </si>
  <si>
    <t>562-912-6 Óvodai intézményi étkeztetés (2012. december)</t>
  </si>
  <si>
    <t>562-913-6 Iskolai intézményi étkeztetés (2012. december)</t>
  </si>
  <si>
    <t>851-011-6 Óvodai nevelés (2012. december)</t>
  </si>
  <si>
    <t>852-000-6 Iskolához kapcsolódó működési kiadás</t>
  </si>
  <si>
    <t>852-011-6 Általános iskolai tanulók nappali rendszerű nevelése, oktatása
1-4. évfolyam (2012. december)</t>
  </si>
  <si>
    <t>852-021-6 Általános iskolai tanulók nappali rendszerű nevelése, oktatása
5-8. évfolyam (2012. december)</t>
  </si>
  <si>
    <t>856-011-6 Pedagógiai szakszolgáltató tevékenység (2012. december)</t>
  </si>
  <si>
    <t>841-233-1 Kulturális szakember képzés</t>
  </si>
  <si>
    <t>932-918-1 Tanórán kívüli oktatás, nevelés</t>
  </si>
  <si>
    <t xml:space="preserve"> - Kulturális szakemberképzés támogatása</t>
  </si>
  <si>
    <t xml:space="preserve"> - Tanórán kívüli oktatás, nevelés támogatása</t>
  </si>
  <si>
    <t>/módosított/</t>
  </si>
  <si>
    <t>RIKE támogatása</t>
  </si>
  <si>
    <t xml:space="preserve"> - RIKE támogatás (színpadtechnika)</t>
  </si>
  <si>
    <t xml:space="preserve"> - RIKE támogatás (Lehel úti szabadidőpark)</t>
  </si>
  <si>
    <t>Kulturális szakember képzés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</si>
</sst>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  <numFmt numFmtId="166" formatCode="#,##0.0000"/>
    <numFmt numFmtId="167" formatCode="yyyy/mm/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  <numFmt numFmtId="172" formatCode="[$-40E]yyyy\.\ mmmm\ d\."/>
    <numFmt numFmtId="173" formatCode="mmm/yyyy"/>
    <numFmt numFmtId="174" formatCode="[$-40E]mmmm\ d\.;@"/>
    <numFmt numFmtId="175" formatCode="#,##0.0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b/>
      <sz val="11.5"/>
      <name val="Arial CE"/>
      <family val="2"/>
    </font>
    <font>
      <sz val="11.5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4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4"/>
      <name val="Arial CE"/>
      <family val="0"/>
    </font>
    <font>
      <sz val="10"/>
      <color indexed="12"/>
      <name val="Arial CE"/>
      <family val="0"/>
    </font>
    <font>
      <sz val="12"/>
      <name val="Times New Roman"/>
      <family val="1"/>
    </font>
    <font>
      <sz val="9"/>
      <name val="Arial CE"/>
      <family val="0"/>
    </font>
    <font>
      <b/>
      <sz val="10"/>
      <color indexed="12"/>
      <name val="Arial CE"/>
      <family val="0"/>
    </font>
    <font>
      <b/>
      <sz val="14"/>
      <color indexed="12"/>
      <name val="Arial CE"/>
      <family val="0"/>
    </font>
    <font>
      <sz val="12"/>
      <color indexed="12"/>
      <name val="Arial CE"/>
      <family val="2"/>
    </font>
    <font>
      <sz val="10"/>
      <color indexed="22"/>
      <name val="Arial CE"/>
      <family val="0"/>
    </font>
    <font>
      <b/>
      <sz val="12"/>
      <color indexed="2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 CE"/>
      <family val="0"/>
    </font>
    <font>
      <b/>
      <sz val="10"/>
      <color indexed="55"/>
      <name val="Arial CE"/>
      <family val="0"/>
    </font>
    <font>
      <sz val="10"/>
      <color indexed="55"/>
      <name val="Arial CE"/>
      <family val="0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i/>
      <sz val="10"/>
      <name val="Arial"/>
      <family val="2"/>
    </font>
    <font>
      <b/>
      <sz val="11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/>
      <top style="medium">
        <color indexed="8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ck"/>
    </border>
    <border>
      <left style="thin"/>
      <right style="thick"/>
      <top style="medium">
        <color indexed="8"/>
      </top>
      <bottom style="thick"/>
    </border>
    <border>
      <left style="thin"/>
      <right style="thin"/>
      <top style="medium"/>
      <bottom style="medium">
        <color indexed="8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ck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ck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>
        <color indexed="8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ck"/>
      <bottom style="medium">
        <color indexed="8"/>
      </bottom>
    </border>
    <border>
      <left>
        <color indexed="63"/>
      </left>
      <right>
        <color indexed="63"/>
      </right>
      <top style="thick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1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17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27" xfId="0" applyFont="1" applyBorder="1" applyAlignment="1">
      <alignment horizontal="left"/>
    </xf>
    <xf numFmtId="3" fontId="2" fillId="0" borderId="20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28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8" xfId="0" applyBorder="1" applyAlignment="1">
      <alignment wrapText="1"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30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 wrapText="1"/>
    </xf>
    <xf numFmtId="3" fontId="2" fillId="0" borderId="33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32" xfId="0" applyFont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3" fontId="2" fillId="0" borderId="31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9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3" fontId="0" fillId="0" borderId="41" xfId="0" applyNumberFormat="1" applyFill="1" applyBorder="1" applyAlignment="1">
      <alignment/>
    </xf>
    <xf numFmtId="0" fontId="0" fillId="0" borderId="42" xfId="0" applyBorder="1" applyAlignment="1">
      <alignment/>
    </xf>
    <xf numFmtId="0" fontId="12" fillId="0" borderId="23" xfId="0" applyFont="1" applyBorder="1" applyAlignment="1">
      <alignment/>
    </xf>
    <xf numFmtId="3" fontId="12" fillId="0" borderId="29" xfId="0" applyNumberFormat="1" applyFont="1" applyFill="1" applyBorder="1" applyAlignment="1">
      <alignment/>
    </xf>
    <xf numFmtId="0" fontId="12" fillId="0" borderId="40" xfId="0" applyFont="1" applyBorder="1" applyAlignment="1">
      <alignment/>
    </xf>
    <xf numFmtId="3" fontId="12" fillId="0" borderId="4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0" fontId="4" fillId="0" borderId="23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3" fontId="4" fillId="0" borderId="3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4" fillId="0" borderId="28" xfId="0" applyFont="1" applyBorder="1" applyAlignment="1">
      <alignment wrapText="1"/>
    </xf>
    <xf numFmtId="165" fontId="0" fillId="0" borderId="0" xfId="42" applyNumberFormat="1" applyFill="1" applyAlignment="1">
      <alignment/>
    </xf>
    <xf numFmtId="165" fontId="0" fillId="0" borderId="0" xfId="42" applyNumberFormat="1" applyFont="1" applyFill="1" applyAlignment="1">
      <alignment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33" xfId="0" applyNumberFormat="1" applyFont="1" applyFill="1" applyBorder="1" applyAlignment="1">
      <alignment/>
    </xf>
    <xf numFmtId="0" fontId="2" fillId="0" borderId="43" xfId="0" applyFont="1" applyBorder="1" applyAlignment="1">
      <alignment wrapText="1"/>
    </xf>
    <xf numFmtId="3" fontId="0" fillId="0" borderId="41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3" fontId="4" fillId="0" borderId="31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9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0" fillId="0" borderId="23" xfId="0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45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0" fontId="0" fillId="0" borderId="47" xfId="0" applyFill="1" applyBorder="1" applyAlignment="1">
      <alignment/>
    </xf>
    <xf numFmtId="3" fontId="0" fillId="0" borderId="26" xfId="0" applyNumberForma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23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18" fillId="0" borderId="27" xfId="0" applyFont="1" applyFill="1" applyBorder="1" applyAlignment="1">
      <alignment/>
    </xf>
    <xf numFmtId="0" fontId="0" fillId="0" borderId="48" xfId="0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2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49" xfId="0" applyNumberFormat="1" applyFont="1" applyFill="1" applyBorder="1" applyAlignment="1">
      <alignment/>
    </xf>
    <xf numFmtId="0" fontId="18" fillId="0" borderId="23" xfId="0" applyFont="1" applyBorder="1" applyAlignment="1">
      <alignment/>
    </xf>
    <xf numFmtId="3" fontId="18" fillId="0" borderId="5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2" fillId="0" borderId="27" xfId="0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18" fillId="0" borderId="21" xfId="0" applyFont="1" applyBorder="1" applyAlignment="1">
      <alignment/>
    </xf>
    <xf numFmtId="3" fontId="18" fillId="0" borderId="51" xfId="0" applyNumberFormat="1" applyFont="1" applyFill="1" applyBorder="1" applyAlignment="1">
      <alignment/>
    </xf>
    <xf numFmtId="0" fontId="18" fillId="0" borderId="40" xfId="0" applyFont="1" applyBorder="1" applyAlignment="1">
      <alignment/>
    </xf>
    <xf numFmtId="3" fontId="18" fillId="0" borderId="4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/>
    </xf>
    <xf numFmtId="0" fontId="20" fillId="0" borderId="24" xfId="0" applyFont="1" applyBorder="1" applyAlignment="1">
      <alignment horizontal="left"/>
    </xf>
    <xf numFmtId="3" fontId="19" fillId="0" borderId="24" xfId="0" applyNumberFormat="1" applyFont="1" applyBorder="1" applyAlignment="1">
      <alignment/>
    </xf>
    <xf numFmtId="3" fontId="20" fillId="0" borderId="24" xfId="0" applyNumberFormat="1" applyFont="1" applyBorder="1" applyAlignment="1">
      <alignment horizontal="right"/>
    </xf>
    <xf numFmtId="3" fontId="20" fillId="0" borderId="29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20" fillId="0" borderId="28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0" xfId="0" applyFont="1" applyBorder="1" applyAlignment="1">
      <alignment/>
    </xf>
    <xf numFmtId="3" fontId="20" fillId="0" borderId="29" xfId="0" applyNumberFormat="1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3" fontId="20" fillId="0" borderId="56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0" fontId="19" fillId="0" borderId="0" xfId="57" applyFill="1">
      <alignment/>
      <protection/>
    </xf>
    <xf numFmtId="0" fontId="19" fillId="0" borderId="0" xfId="57">
      <alignment/>
      <protection/>
    </xf>
    <xf numFmtId="0" fontId="0" fillId="0" borderId="2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3" xfId="0" applyFill="1" applyBorder="1" applyAlignment="1">
      <alignment/>
    </xf>
    <xf numFmtId="0" fontId="12" fillId="0" borderId="42" xfId="0" applyFont="1" applyBorder="1" applyAlignment="1">
      <alignment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53" xfId="0" applyFill="1" applyBorder="1" applyAlignment="1">
      <alignment/>
    </xf>
    <xf numFmtId="0" fontId="0" fillId="0" borderId="57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3" fontId="4" fillId="0" borderId="39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0" fontId="19" fillId="0" borderId="23" xfId="0" applyFont="1" applyBorder="1" applyAlignment="1">
      <alignment horizontal="left"/>
    </xf>
    <xf numFmtId="3" fontId="4" fillId="0" borderId="24" xfId="0" applyNumberFormat="1" applyFont="1" applyBorder="1" applyAlignment="1">
      <alignment/>
    </xf>
    <xf numFmtId="0" fontId="0" fillId="0" borderId="0" xfId="0" applyFont="1" applyFill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57" applyFont="1" applyFill="1" applyAlignment="1">
      <alignment horizontal="right"/>
      <protection/>
    </xf>
    <xf numFmtId="0" fontId="2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5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4" fillId="0" borderId="29" xfId="42" applyNumberFormat="1" applyFont="1" applyFill="1" applyBorder="1" applyAlignment="1">
      <alignment horizontal="center"/>
    </xf>
    <xf numFmtId="3" fontId="0" fillId="0" borderId="29" xfId="42" applyNumberFormat="1" applyFon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45" xfId="0" applyNumberFormat="1" applyFill="1" applyBorder="1" applyAlignment="1">
      <alignment/>
    </xf>
    <xf numFmtId="0" fontId="0" fillId="0" borderId="32" xfId="0" applyBorder="1" applyAlignment="1">
      <alignment/>
    </xf>
    <xf numFmtId="3" fontId="0" fillId="0" borderId="60" xfId="0" applyNumberFormat="1" applyFont="1" applyFill="1" applyBorder="1" applyAlignment="1">
      <alignment horizontal="right"/>
    </xf>
    <xf numFmtId="3" fontId="12" fillId="0" borderId="6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2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24" fillId="0" borderId="62" xfId="0" applyFont="1" applyBorder="1" applyAlignment="1">
      <alignment vertical="top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24" fillId="0" borderId="63" xfId="0" applyFont="1" applyBorder="1" applyAlignment="1">
      <alignment vertical="top" wrapText="1"/>
    </xf>
    <xf numFmtId="0" fontId="6" fillId="0" borderId="0" xfId="0" applyFont="1" applyFill="1" applyBorder="1" applyAlignment="1">
      <alignment horizontal="right"/>
    </xf>
    <xf numFmtId="0" fontId="24" fillId="0" borderId="64" xfId="0" applyFont="1" applyBorder="1" applyAlignment="1">
      <alignment wrapText="1"/>
    </xf>
    <xf numFmtId="0" fontId="25" fillId="0" borderId="0" xfId="0" applyFont="1" applyFill="1" applyAlignment="1">
      <alignment/>
    </xf>
    <xf numFmtId="0" fontId="6" fillId="0" borderId="0" xfId="0" applyFont="1" applyBorder="1" applyAlignment="1">
      <alignment/>
    </xf>
    <xf numFmtId="3" fontId="24" fillId="0" borderId="65" xfId="0" applyNumberFormat="1" applyFont="1" applyBorder="1" applyAlignment="1">
      <alignment horizontal="right" wrapText="1"/>
    </xf>
    <xf numFmtId="3" fontId="24" fillId="0" borderId="66" xfId="0" applyNumberFormat="1" applyFont="1" applyBorder="1" applyAlignment="1">
      <alignment horizontal="right" wrapText="1"/>
    </xf>
    <xf numFmtId="0" fontId="25" fillId="0" borderId="67" xfId="0" applyFont="1" applyFill="1" applyBorder="1" applyAlignment="1">
      <alignment horizontal="right"/>
    </xf>
    <xf numFmtId="3" fontId="21" fillId="0" borderId="68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4" fillId="0" borderId="69" xfId="0" applyNumberFormat="1" applyFont="1" applyBorder="1" applyAlignment="1">
      <alignment horizontal="right" wrapText="1"/>
    </xf>
    <xf numFmtId="3" fontId="24" fillId="0" borderId="70" xfId="0" applyNumberFormat="1" applyFont="1" applyBorder="1" applyAlignment="1">
      <alignment horizontal="right" wrapText="1"/>
    </xf>
    <xf numFmtId="3" fontId="21" fillId="0" borderId="71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left" vertical="top" wrapText="1"/>
    </xf>
    <xf numFmtId="3" fontId="21" fillId="0" borderId="0" xfId="0" applyNumberFormat="1" applyFont="1" applyBorder="1" applyAlignment="1">
      <alignment horizontal="right" wrapText="1"/>
    </xf>
    <xf numFmtId="0" fontId="25" fillId="0" borderId="72" xfId="0" applyFont="1" applyFill="1" applyBorder="1" applyAlignment="1">
      <alignment/>
    </xf>
    <xf numFmtId="0" fontId="24" fillId="0" borderId="73" xfId="0" applyFont="1" applyBorder="1" applyAlignment="1">
      <alignment vertical="top" wrapText="1"/>
    </xf>
    <xf numFmtId="0" fontId="24" fillId="0" borderId="74" xfId="0" applyFont="1" applyBorder="1" applyAlignment="1">
      <alignment horizontal="left" vertical="top" wrapText="1"/>
    </xf>
    <xf numFmtId="3" fontId="24" fillId="0" borderId="75" xfId="0" applyNumberFormat="1" applyFont="1" applyBorder="1" applyAlignment="1">
      <alignment horizontal="right" wrapText="1"/>
    </xf>
    <xf numFmtId="0" fontId="2" fillId="0" borderId="76" xfId="0" applyFont="1" applyFill="1" applyBorder="1" applyAlignment="1">
      <alignment/>
    </xf>
    <xf numFmtId="3" fontId="21" fillId="0" borderId="77" xfId="0" applyNumberFormat="1" applyFont="1" applyBorder="1" applyAlignment="1">
      <alignment horizontal="right" wrapText="1"/>
    </xf>
    <xf numFmtId="3" fontId="23" fillId="0" borderId="0" xfId="0" applyNumberFormat="1" applyFont="1" applyFill="1" applyBorder="1" applyAlignment="1">
      <alignment/>
    </xf>
    <xf numFmtId="9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6" fillId="0" borderId="0" xfId="0" applyNumberFormat="1" applyFont="1" applyFill="1" applyBorder="1" applyAlignment="1">
      <alignment/>
    </xf>
    <xf numFmtId="14" fontId="19" fillId="0" borderId="24" xfId="0" applyNumberFormat="1" applyFont="1" applyBorder="1" applyAlignment="1">
      <alignment horizontal="center"/>
    </xf>
    <xf numFmtId="9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39" xfId="0" applyNumberFormat="1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3" fontId="2" fillId="0" borderId="79" xfId="0" applyNumberFormat="1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4" fillId="0" borderId="82" xfId="0" applyFont="1" applyBorder="1" applyAlignment="1">
      <alignment wrapText="1"/>
    </xf>
    <xf numFmtId="3" fontId="24" fillId="0" borderId="83" xfId="0" applyNumberFormat="1" applyFont="1" applyBorder="1" applyAlignment="1">
      <alignment horizontal="right" wrapText="1"/>
    </xf>
    <xf numFmtId="0" fontId="24" fillId="0" borderId="82" xfId="0" applyFont="1" applyBorder="1" applyAlignment="1">
      <alignment vertical="top" wrapText="1"/>
    </xf>
    <xf numFmtId="0" fontId="24" fillId="0" borderId="84" xfId="0" applyFont="1" applyBorder="1" applyAlignment="1">
      <alignment vertical="top" wrapText="1"/>
    </xf>
    <xf numFmtId="3" fontId="24" fillId="0" borderId="85" xfId="0" applyNumberFormat="1" applyFont="1" applyBorder="1" applyAlignment="1">
      <alignment wrapText="1"/>
    </xf>
    <xf numFmtId="3" fontId="24" fillId="0" borderId="86" xfId="0" applyNumberFormat="1" applyFont="1" applyBorder="1" applyAlignment="1">
      <alignment horizontal="right" wrapText="1"/>
    </xf>
    <xf numFmtId="0" fontId="21" fillId="0" borderId="87" xfId="0" applyFont="1" applyBorder="1" applyAlignment="1">
      <alignment horizontal="left" wrapText="1"/>
    </xf>
    <xf numFmtId="3" fontId="21" fillId="0" borderId="88" xfId="0" applyNumberFormat="1" applyFont="1" applyBorder="1" applyAlignment="1">
      <alignment wrapText="1"/>
    </xf>
    <xf numFmtId="0" fontId="24" fillId="0" borderId="89" xfId="0" applyFont="1" applyBorder="1" applyAlignment="1">
      <alignment vertical="top" wrapText="1"/>
    </xf>
    <xf numFmtId="0" fontId="25" fillId="0" borderId="90" xfId="0" applyFont="1" applyFill="1" applyBorder="1" applyAlignment="1">
      <alignment horizontal="left"/>
    </xf>
    <xf numFmtId="0" fontId="25" fillId="0" borderId="67" xfId="0" applyFont="1" applyFill="1" applyBorder="1" applyAlignment="1">
      <alignment horizontal="left"/>
    </xf>
    <xf numFmtId="0" fontId="2" fillId="0" borderId="91" xfId="0" applyFont="1" applyFill="1" applyBorder="1" applyAlignment="1">
      <alignment horizontal="left"/>
    </xf>
    <xf numFmtId="3" fontId="2" fillId="0" borderId="92" xfId="0" applyNumberFormat="1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/>
    </xf>
    <xf numFmtId="0" fontId="24" fillId="0" borderId="94" xfId="0" applyFont="1" applyBorder="1" applyAlignment="1">
      <alignment wrapText="1"/>
    </xf>
    <xf numFmtId="0" fontId="24" fillId="0" borderId="95" xfId="0" applyFont="1" applyBorder="1" applyAlignment="1">
      <alignment wrapText="1"/>
    </xf>
    <xf numFmtId="0" fontId="24" fillId="0" borderId="95" xfId="0" applyFont="1" applyBorder="1" applyAlignment="1">
      <alignment vertical="top" wrapText="1"/>
    </xf>
    <xf numFmtId="0" fontId="21" fillId="0" borderId="96" xfId="0" applyFont="1" applyBorder="1" applyAlignment="1">
      <alignment horizontal="left" vertical="top" wrapText="1"/>
    </xf>
    <xf numFmtId="0" fontId="24" fillId="0" borderId="97" xfId="0" applyFont="1" applyBorder="1" applyAlignment="1">
      <alignment wrapText="1"/>
    </xf>
    <xf numFmtId="0" fontId="21" fillId="0" borderId="98" xfId="0" applyFont="1" applyBorder="1" applyAlignment="1">
      <alignment horizontal="left" vertical="top" wrapText="1"/>
    </xf>
    <xf numFmtId="0" fontId="25" fillId="0" borderId="67" xfId="0" applyFont="1" applyFill="1" applyBorder="1" applyAlignment="1">
      <alignment horizontal="left" vertical="center" wrapText="1"/>
    </xf>
    <xf numFmtId="0" fontId="25" fillId="0" borderId="67" xfId="0" applyFont="1" applyFill="1" applyBorder="1" applyAlignment="1">
      <alignment/>
    </xf>
    <xf numFmtId="0" fontId="25" fillId="0" borderId="6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/>
    </xf>
    <xf numFmtId="0" fontId="25" fillId="0" borderId="99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24" fillId="0" borderId="101" xfId="0" applyFont="1" applyBorder="1" applyAlignment="1">
      <alignment horizontal="left" vertical="top" wrapText="1"/>
    </xf>
    <xf numFmtId="0" fontId="21" fillId="0" borderId="102" xfId="0" applyFont="1" applyBorder="1" applyAlignment="1">
      <alignment horizontal="left" vertical="top" wrapText="1"/>
    </xf>
    <xf numFmtId="0" fontId="24" fillId="0" borderId="103" xfId="0" applyFont="1" applyBorder="1" applyAlignment="1">
      <alignment horizontal="left" vertical="top" wrapText="1"/>
    </xf>
    <xf numFmtId="3" fontId="24" fillId="0" borderId="104" xfId="0" applyNumberFormat="1" applyFont="1" applyBorder="1" applyAlignment="1">
      <alignment wrapText="1"/>
    </xf>
    <xf numFmtId="0" fontId="25" fillId="0" borderId="105" xfId="0" applyFont="1" applyFill="1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106" xfId="0" applyFont="1" applyBorder="1" applyAlignment="1">
      <alignment horizontal="right" vertical="top" wrapText="1"/>
    </xf>
    <xf numFmtId="0" fontId="24" fillId="0" borderId="107" xfId="0" applyFont="1" applyBorder="1" applyAlignment="1">
      <alignment horizontal="right" vertical="top" wrapText="1"/>
    </xf>
    <xf numFmtId="0" fontId="21" fillId="0" borderId="108" xfId="0" applyFont="1" applyBorder="1" applyAlignment="1">
      <alignment horizontal="left" vertical="top" wrapText="1"/>
    </xf>
    <xf numFmtId="3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4" fillId="0" borderId="106" xfId="0" applyFont="1" applyBorder="1" applyAlignment="1">
      <alignment horizontal="left" vertical="top" wrapText="1"/>
    </xf>
    <xf numFmtId="0" fontId="50" fillId="0" borderId="0" xfId="57" applyFont="1" applyFill="1">
      <alignment/>
      <protection/>
    </xf>
    <xf numFmtId="0" fontId="50" fillId="0" borderId="0" xfId="57" applyFont="1">
      <alignment/>
      <protection/>
    </xf>
    <xf numFmtId="0" fontId="50" fillId="0" borderId="0" xfId="57" applyFont="1" applyAlignment="1">
      <alignment horizontal="center" vertical="center"/>
      <protection/>
    </xf>
    <xf numFmtId="0" fontId="51" fillId="0" borderId="0" xfId="57" applyFont="1">
      <alignment/>
      <protection/>
    </xf>
    <xf numFmtId="49" fontId="49" fillId="0" borderId="0" xfId="0" applyNumberFormat="1" applyFont="1" applyAlignment="1">
      <alignment horizontal="right"/>
    </xf>
    <xf numFmtId="3" fontId="4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3" fontId="0" fillId="0" borderId="29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wrapText="1"/>
    </xf>
    <xf numFmtId="0" fontId="2" fillId="0" borderId="3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52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 wrapText="1"/>
    </xf>
    <xf numFmtId="3" fontId="49" fillId="0" borderId="0" xfId="0" applyNumberFormat="1" applyFont="1" applyFill="1" applyAlignment="1">
      <alignment/>
    </xf>
    <xf numFmtId="3" fontId="48" fillId="0" borderId="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165" fontId="20" fillId="0" borderId="0" xfId="40" applyNumberFormat="1" applyFont="1" applyAlignment="1">
      <alignment/>
    </xf>
    <xf numFmtId="165" fontId="20" fillId="0" borderId="0" xfId="65" applyNumberFormat="1" applyFont="1" applyAlignment="1">
      <alignment/>
    </xf>
    <xf numFmtId="0" fontId="55" fillId="0" borderId="0" xfId="0" applyFont="1" applyAlignment="1">
      <alignment/>
    </xf>
    <xf numFmtId="165" fontId="55" fillId="0" borderId="0" xfId="40" applyNumberFormat="1" applyFont="1" applyAlignment="1">
      <alignment/>
    </xf>
    <xf numFmtId="165" fontId="0" fillId="0" borderId="0" xfId="40" applyNumberFormat="1" applyFont="1" applyAlignment="1">
      <alignment/>
    </xf>
    <xf numFmtId="0" fontId="0" fillId="0" borderId="27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wrapText="1"/>
    </xf>
    <xf numFmtId="3" fontId="0" fillId="0" borderId="109" xfId="0" applyNumberFormat="1" applyFont="1" applyFill="1" applyBorder="1" applyAlignment="1">
      <alignment horizontal="right"/>
    </xf>
    <xf numFmtId="0" fontId="0" fillId="0" borderId="109" xfId="0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/>
    </xf>
    <xf numFmtId="3" fontId="0" fillId="0" borderId="110" xfId="0" applyNumberFormat="1" applyFont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111" xfId="0" applyNumberFormat="1" applyFont="1" applyBorder="1" applyAlignment="1">
      <alignment/>
    </xf>
    <xf numFmtId="3" fontId="0" fillId="0" borderId="112" xfId="0" applyNumberFormat="1" applyFont="1" applyFill="1" applyBorder="1" applyAlignment="1">
      <alignment/>
    </xf>
    <xf numFmtId="3" fontId="0" fillId="0" borderId="112" xfId="0" applyNumberFormat="1" applyFont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0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09" xfId="0" applyNumberFormat="1" applyFont="1" applyFill="1" applyBorder="1" applyAlignment="1">
      <alignment/>
    </xf>
    <xf numFmtId="3" fontId="12" fillId="0" borderId="6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3" xfId="0" applyFont="1" applyBorder="1" applyAlignment="1">
      <alignment/>
    </xf>
    <xf numFmtId="3" fontId="0" fillId="0" borderId="109" xfId="0" applyNumberFormat="1" applyFont="1" applyFill="1" applyBorder="1" applyAlignment="1">
      <alignment/>
    </xf>
    <xf numFmtId="3" fontId="0" fillId="0" borderId="114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3" fontId="12" fillId="0" borderId="111" xfId="0" applyNumberFormat="1" applyFont="1" applyFill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30" xfId="0" applyFont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9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111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1" xfId="0" applyFont="1" applyFill="1" applyBorder="1" applyAlignment="1">
      <alignment/>
    </xf>
    <xf numFmtId="0" fontId="4" fillId="0" borderId="116" xfId="0" applyFont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23" borderId="37" xfId="0" applyFont="1" applyFill="1" applyBorder="1" applyAlignment="1">
      <alignment horizontal="right"/>
    </xf>
    <xf numFmtId="3" fontId="4" fillId="0" borderId="109" xfId="0" applyNumberFormat="1" applyFont="1" applyFill="1" applyBorder="1" applyAlignment="1">
      <alignment horizontal="center" vertical="center"/>
    </xf>
    <xf numFmtId="3" fontId="4" fillId="0" borderId="111" xfId="0" applyNumberFormat="1" applyFont="1" applyFill="1" applyBorder="1" applyAlignment="1">
      <alignment horizontal="center" vertical="center"/>
    </xf>
    <xf numFmtId="3" fontId="12" fillId="0" borderId="111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/>
    </xf>
    <xf numFmtId="0" fontId="4" fillId="23" borderId="35" xfId="0" applyFont="1" applyFill="1" applyBorder="1" applyAlignment="1">
      <alignment horizontal="right"/>
    </xf>
    <xf numFmtId="3" fontId="12" fillId="0" borderId="24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23" borderId="35" xfId="0" applyNumberFormat="1" applyFont="1" applyFill="1" applyBorder="1" applyAlignment="1">
      <alignment horizontal="right"/>
    </xf>
    <xf numFmtId="3" fontId="0" fillId="0" borderId="115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2" fillId="0" borderId="111" xfId="0" applyFont="1" applyBorder="1" applyAlignment="1">
      <alignment/>
    </xf>
    <xf numFmtId="3" fontId="12" fillId="0" borderId="23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0" fillId="0" borderId="115" xfId="0" applyNumberForma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wrapText="1"/>
    </xf>
    <xf numFmtId="4" fontId="0" fillId="0" borderId="115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0" fillId="0" borderId="117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3" fontId="0" fillId="0" borderId="22" xfId="0" applyNumberForma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0" fillId="0" borderId="115" xfId="0" applyNumberFormat="1" applyBorder="1" applyAlignment="1">
      <alignment/>
    </xf>
    <xf numFmtId="3" fontId="4" fillId="0" borderId="39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43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118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119" xfId="0" applyNumberFormat="1" applyFont="1" applyBorder="1" applyAlignment="1">
      <alignment/>
    </xf>
    <xf numFmtId="3" fontId="0" fillId="0" borderId="110" xfId="0" applyNumberFormat="1" applyBorder="1" applyAlignment="1">
      <alignment/>
    </xf>
    <xf numFmtId="3" fontId="0" fillId="0" borderId="111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4" fillId="0" borderId="3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12" xfId="0" applyNumberFormat="1" applyBorder="1" applyAlignment="1">
      <alignment/>
    </xf>
    <xf numFmtId="0" fontId="56" fillId="0" borderId="0" xfId="0" applyFont="1" applyAlignment="1">
      <alignment/>
    </xf>
    <xf numFmtId="0" fontId="56" fillId="0" borderId="30" xfId="0" applyFont="1" applyBorder="1" applyAlignment="1">
      <alignment/>
    </xf>
    <xf numFmtId="3" fontId="56" fillId="0" borderId="10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56" fillId="0" borderId="31" xfId="0" applyNumberFormat="1" applyFont="1" applyBorder="1" applyAlignment="1">
      <alignment/>
    </xf>
    <xf numFmtId="3" fontId="56" fillId="0" borderId="35" xfId="0" applyNumberFormat="1" applyFont="1" applyBorder="1" applyAlignment="1">
      <alignment/>
    </xf>
    <xf numFmtId="3" fontId="56" fillId="0" borderId="113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109" xfId="0" applyNumberForma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11" xfId="0" applyNumberForma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0" fontId="56" fillId="0" borderId="30" xfId="0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3" fontId="56" fillId="0" borderId="12" xfId="0" applyNumberFormat="1" applyFont="1" applyFill="1" applyBorder="1" applyAlignment="1">
      <alignment/>
    </xf>
    <xf numFmtId="3" fontId="56" fillId="0" borderId="31" xfId="0" applyNumberFormat="1" applyFont="1" applyFill="1" applyBorder="1" applyAlignment="1">
      <alignment/>
    </xf>
    <xf numFmtId="3" fontId="56" fillId="0" borderId="35" xfId="0" applyNumberFormat="1" applyFont="1" applyFill="1" applyBorder="1" applyAlignment="1">
      <alignment/>
    </xf>
    <xf numFmtId="3" fontId="56" fillId="0" borderId="11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115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/>
      <protection/>
    </xf>
    <xf numFmtId="0" fontId="20" fillId="0" borderId="31" xfId="57" applyFont="1" applyFill="1" applyBorder="1" applyAlignment="1">
      <alignment horizontal="center" vertical="center"/>
      <protection/>
    </xf>
    <xf numFmtId="0" fontId="20" fillId="0" borderId="38" xfId="0" applyFont="1" applyFill="1" applyBorder="1" applyAlignment="1">
      <alignment wrapText="1"/>
    </xf>
    <xf numFmtId="3" fontId="20" fillId="0" borderId="39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20" fillId="0" borderId="10" xfId="57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3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113" xfId="0" applyNumberFormat="1" applyFont="1" applyBorder="1" applyAlignment="1">
      <alignment/>
    </xf>
    <xf numFmtId="0" fontId="0" fillId="0" borderId="43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109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48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9" fillId="0" borderId="0" xfId="57" applyFont="1" applyAlignment="1">
      <alignment horizontal="right"/>
      <protection/>
    </xf>
    <xf numFmtId="0" fontId="57" fillId="0" borderId="18" xfId="0" applyFont="1" applyFill="1" applyBorder="1" applyAlignment="1">
      <alignment/>
    </xf>
    <xf numFmtId="0" fontId="57" fillId="0" borderId="19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3" fontId="58" fillId="0" borderId="12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ill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3" fontId="57" fillId="0" borderId="0" xfId="0" applyNumberFormat="1" applyFont="1" applyAlignment="1">
      <alignment/>
    </xf>
    <xf numFmtId="3" fontId="0" fillId="0" borderId="28" xfId="0" applyNumberFormat="1" applyFont="1" applyBorder="1" applyAlignment="1">
      <alignment/>
    </xf>
    <xf numFmtId="0" fontId="0" fillId="0" borderId="27" xfId="0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4" fillId="0" borderId="36" xfId="0" applyNumberFormat="1" applyFont="1" applyFill="1" applyBorder="1" applyAlignment="1">
      <alignment horizontal="center" vertical="center"/>
    </xf>
    <xf numFmtId="0" fontId="58" fillId="23" borderId="37" xfId="0" applyFont="1" applyFill="1" applyBorder="1" applyAlignment="1">
      <alignment horizontal="right"/>
    </xf>
    <xf numFmtId="3" fontId="0" fillId="0" borderId="109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57" fillId="0" borderId="17" xfId="0" applyNumberFormat="1" applyFont="1" applyFill="1" applyBorder="1" applyAlignment="1">
      <alignment/>
    </xf>
    <xf numFmtId="3" fontId="57" fillId="0" borderId="20" xfId="0" applyNumberFormat="1" applyFont="1" applyFill="1" applyBorder="1" applyAlignment="1">
      <alignment/>
    </xf>
    <xf numFmtId="3" fontId="0" fillId="22" borderId="38" xfId="0" applyNumberFormat="1" applyFont="1" applyFill="1" applyBorder="1" applyAlignment="1">
      <alignment/>
    </xf>
    <xf numFmtId="3" fontId="0" fillId="22" borderId="115" xfId="0" applyNumberFormat="1" applyFont="1" applyFill="1" applyBorder="1" applyAlignment="1">
      <alignment/>
    </xf>
    <xf numFmtId="3" fontId="0" fillId="22" borderId="23" xfId="0" applyNumberFormat="1" applyFont="1" applyFill="1" applyBorder="1" applyAlignment="1">
      <alignment/>
    </xf>
    <xf numFmtId="3" fontId="0" fillId="22" borderId="24" xfId="0" applyNumberFormat="1" applyFont="1" applyFill="1" applyBorder="1" applyAlignment="1">
      <alignment/>
    </xf>
    <xf numFmtId="3" fontId="4" fillId="22" borderId="35" xfId="0" applyNumberFormat="1" applyFont="1" applyFill="1" applyBorder="1" applyAlignment="1">
      <alignment/>
    </xf>
    <xf numFmtId="3" fontId="0" fillId="22" borderId="114" xfId="0" applyNumberFormat="1" applyFont="1" applyFill="1" applyBorder="1" applyAlignment="1">
      <alignment/>
    </xf>
    <xf numFmtId="3" fontId="0" fillId="22" borderId="45" xfId="0" applyNumberFormat="1" applyFont="1" applyFill="1" applyBorder="1" applyAlignment="1">
      <alignment/>
    </xf>
    <xf numFmtId="3" fontId="12" fillId="22" borderId="45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49" fillId="0" borderId="0" xfId="0" applyNumberFormat="1" applyFont="1" applyAlignment="1">
      <alignment/>
    </xf>
    <xf numFmtId="165" fontId="57" fillId="0" borderId="0" xfId="42" applyNumberFormat="1" applyFont="1" applyFill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6" fillId="0" borderId="36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horizontal="right" vertic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24" fillId="0" borderId="121" xfId="0" applyFont="1" applyBorder="1" applyAlignment="1">
      <alignment vertical="top" wrapText="1"/>
    </xf>
    <xf numFmtId="0" fontId="24" fillId="0" borderId="122" xfId="0" applyFont="1" applyBorder="1" applyAlignment="1">
      <alignment vertical="top" wrapText="1"/>
    </xf>
    <xf numFmtId="0" fontId="24" fillId="0" borderId="64" xfId="0" applyFont="1" applyBorder="1" applyAlignment="1">
      <alignment horizontal="left" vertical="top" wrapText="1"/>
    </xf>
    <xf numFmtId="0" fontId="24" fillId="0" borderId="123" xfId="0" applyFont="1" applyBorder="1" applyAlignment="1">
      <alignment horizontal="left" vertical="top" wrapText="1"/>
    </xf>
    <xf numFmtId="0" fontId="21" fillId="0" borderId="124" xfId="0" applyFont="1" applyBorder="1" applyAlignment="1">
      <alignment horizontal="left" vertical="top" wrapText="1"/>
    </xf>
    <xf numFmtId="0" fontId="21" fillId="0" borderId="125" xfId="0" applyFont="1" applyBorder="1" applyAlignment="1">
      <alignment horizontal="left" vertical="top" wrapText="1"/>
    </xf>
    <xf numFmtId="0" fontId="24" fillId="0" borderId="126" xfId="0" applyFont="1" applyBorder="1" applyAlignment="1">
      <alignment horizontal="left" vertical="top" wrapText="1"/>
    </xf>
    <xf numFmtId="0" fontId="24" fillId="0" borderId="127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4" fillId="0" borderId="129" xfId="0" applyFont="1" applyBorder="1" applyAlignment="1">
      <alignment vertical="top" wrapText="1"/>
    </xf>
    <xf numFmtId="0" fontId="24" fillId="0" borderId="130" xfId="0" applyFont="1" applyBorder="1" applyAlignment="1">
      <alignment vertical="top" wrapText="1"/>
    </xf>
    <xf numFmtId="0" fontId="24" fillId="0" borderId="131" xfId="0" applyFont="1" applyBorder="1" applyAlignment="1">
      <alignment vertical="top" wrapText="1"/>
    </xf>
    <xf numFmtId="0" fontId="24" fillId="0" borderId="123" xfId="0" applyFont="1" applyBorder="1" applyAlignment="1">
      <alignment vertical="top" wrapText="1"/>
    </xf>
    <xf numFmtId="0" fontId="24" fillId="0" borderId="132" xfId="0" applyFont="1" applyBorder="1" applyAlignment="1">
      <alignment horizontal="left" vertical="top" wrapText="1"/>
    </xf>
    <xf numFmtId="0" fontId="24" fillId="0" borderId="73" xfId="0" applyFont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3" fontId="21" fillId="0" borderId="135" xfId="0" applyNumberFormat="1" applyFont="1" applyBorder="1" applyAlignment="1">
      <alignment horizontal="right" wrapText="1"/>
    </xf>
    <xf numFmtId="3" fontId="21" fillId="0" borderId="136" xfId="0" applyNumberFormat="1" applyFont="1" applyBorder="1" applyAlignment="1">
      <alignment horizontal="right" wrapText="1"/>
    </xf>
    <xf numFmtId="3" fontId="21" fillId="0" borderId="137" xfId="0" applyNumberFormat="1" applyFont="1" applyBorder="1" applyAlignment="1">
      <alignment horizontal="right" wrapText="1"/>
    </xf>
    <xf numFmtId="0" fontId="21" fillId="0" borderId="138" xfId="0" applyFont="1" applyBorder="1" applyAlignment="1">
      <alignment horizontal="left" wrapText="1"/>
    </xf>
    <xf numFmtId="0" fontId="21" fillId="0" borderId="139" xfId="0" applyFont="1" applyBorder="1" applyAlignment="1">
      <alignment horizontal="left" wrapText="1"/>
    </xf>
    <xf numFmtId="0" fontId="21" fillId="0" borderId="135" xfId="0" applyFont="1" applyBorder="1" applyAlignment="1">
      <alignment horizontal="left" vertical="top" wrapText="1"/>
    </xf>
    <xf numFmtId="0" fontId="21" fillId="0" borderId="140" xfId="0" applyFont="1" applyBorder="1" applyAlignment="1">
      <alignment horizontal="left" vertical="top" wrapText="1"/>
    </xf>
    <xf numFmtId="0" fontId="2" fillId="0" borderId="141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1" fillId="0" borderId="139" xfId="0" applyFont="1" applyBorder="1" applyAlignment="1">
      <alignment horizontal="left" vertical="top" wrapText="1"/>
    </xf>
    <xf numFmtId="0" fontId="20" fillId="0" borderId="43" xfId="0" applyFont="1" applyBorder="1" applyAlignment="1">
      <alignment horizontal="left"/>
    </xf>
    <xf numFmtId="0" fontId="20" fillId="0" borderId="59" xfId="0" applyFont="1" applyBorder="1" applyAlignment="1">
      <alignment horizontal="left"/>
    </xf>
    <xf numFmtId="0" fontId="20" fillId="0" borderId="60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43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/>
    </xf>
    <xf numFmtId="3" fontId="0" fillId="0" borderId="26" xfId="0" applyNumberFormat="1" applyFont="1" applyFill="1" applyBorder="1" applyAlignment="1">
      <alignment horizontal="center" wrapText="1"/>
    </xf>
    <xf numFmtId="0" fontId="4" fillId="0" borderId="1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3" fontId="0" fillId="0" borderId="1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EU-s támogatások" xfId="57"/>
    <cellStyle name="Normal_KARSZJ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J17" sqref="J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631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521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3">
    <mergeCell ref="C17:H17"/>
    <mergeCell ref="C19:H19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10" sqref="F10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546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369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237" t="s">
        <v>289</v>
      </c>
      <c r="B8" s="240">
        <v>213</v>
      </c>
      <c r="C8" s="107">
        <f>SUM(D8:F8)</f>
        <v>314496</v>
      </c>
      <c r="D8" s="111">
        <f>SUM('ÖNK_működési kiadás'!D34)</f>
        <v>143620</v>
      </c>
      <c r="E8" s="111">
        <f>SUM('ÖNK_működési kiadás'!E34)</f>
        <v>24703</v>
      </c>
      <c r="F8" s="112">
        <f>SUM('ÖNK_működési kiadás'!F34)</f>
        <v>146173</v>
      </c>
      <c r="G8" s="1"/>
      <c r="H8" s="17"/>
      <c r="I8" s="17"/>
      <c r="J8" s="17"/>
    </row>
    <row r="9" spans="1:10" s="18" customFormat="1" ht="18.75" customHeight="1" thickBot="1">
      <c r="A9" s="237" t="s">
        <v>591</v>
      </c>
      <c r="B9" s="240">
        <f>SUM('PH_működési kiadás'!B15)</f>
        <v>27</v>
      </c>
      <c r="C9" s="107">
        <f>SUM(D9:F9)</f>
        <v>125125</v>
      </c>
      <c r="D9" s="111">
        <f>SUM('PH_működési kiadás'!D15)</f>
        <v>68480</v>
      </c>
      <c r="E9" s="111">
        <f>SUM('PH_működési kiadás'!E15)</f>
        <v>18798</v>
      </c>
      <c r="F9" s="112">
        <v>37847</v>
      </c>
      <c r="G9" s="1"/>
      <c r="H9" s="17"/>
      <c r="I9" s="17"/>
      <c r="J9" s="17"/>
    </row>
    <row r="10" spans="1:7" ht="18.75" customHeight="1" thickBot="1">
      <c r="A10" s="238" t="s">
        <v>290</v>
      </c>
      <c r="B10" s="240">
        <f>SUM('GAM_működési kiadás'!B18)</f>
        <v>38</v>
      </c>
      <c r="C10" s="107">
        <f>SUM(D10:F10)</f>
        <v>214714</v>
      </c>
      <c r="D10" s="111">
        <f>SUM('GAM_működési kiadás'!D18)</f>
        <v>51291</v>
      </c>
      <c r="E10" s="111">
        <f>SUM('GAM_működési kiadás'!E18)</f>
        <v>11246</v>
      </c>
      <c r="F10" s="112">
        <f>SUM('GAM_működési kiadás'!F18)</f>
        <v>152177</v>
      </c>
      <c r="G10" s="21"/>
    </row>
    <row r="11" spans="1:11" s="2" customFormat="1" ht="18.75" customHeight="1" thickBot="1">
      <c r="A11" s="239" t="s">
        <v>291</v>
      </c>
      <c r="B11" s="240">
        <f>SUM('ILMK működési kiadás'!B16)</f>
        <v>7</v>
      </c>
      <c r="C11" s="107">
        <f>SUM(D11:F11)</f>
        <v>48150</v>
      </c>
      <c r="D11" s="111">
        <f>SUM('ILMK működési kiadás'!D16)</f>
        <v>14211</v>
      </c>
      <c r="E11" s="111">
        <f>SUM('ILMK működési kiadás'!E16)</f>
        <v>3839</v>
      </c>
      <c r="F11" s="112">
        <f>SUM('ILMK működési kiadás'!F16)</f>
        <v>30100</v>
      </c>
      <c r="G11" s="21"/>
      <c r="K11"/>
    </row>
    <row r="12" spans="1:10" s="18" customFormat="1" ht="18.75" customHeight="1" thickBot="1">
      <c r="A12" s="727" t="s">
        <v>3</v>
      </c>
      <c r="B12" s="240">
        <f>SUM('OVI_működési kiadás'!B10)</f>
        <v>28</v>
      </c>
      <c r="C12" s="107">
        <f>SUM(D12:F12)</f>
        <v>27005</v>
      </c>
      <c r="D12" s="111">
        <f>SUM('OVI_működési kiadás'!D10)</f>
        <v>18431</v>
      </c>
      <c r="E12" s="111">
        <f>SUM('OVI_működési kiadás'!E10)</f>
        <v>5115</v>
      </c>
      <c r="F12" s="112">
        <f>SUM('OVI_működési kiadás'!F10)</f>
        <v>3459</v>
      </c>
      <c r="G12" s="1"/>
      <c r="H12" s="17"/>
      <c r="I12" s="17"/>
      <c r="J12" s="17"/>
    </row>
    <row r="13" spans="1:11" s="2" customFormat="1" ht="18.75" customHeight="1" thickBot="1">
      <c r="A13" s="727"/>
      <c r="B13" s="241"/>
      <c r="C13" s="107"/>
      <c r="D13" s="25"/>
      <c r="E13" s="25"/>
      <c r="F13" s="26"/>
      <c r="G13" s="1"/>
      <c r="K13"/>
    </row>
    <row r="14" spans="1:11" s="2" customFormat="1" ht="18.75" customHeight="1" thickBot="1">
      <c r="A14" s="81" t="s">
        <v>44</v>
      </c>
      <c r="B14" s="108">
        <f>SUM(B8:B13)</f>
        <v>313</v>
      </c>
      <c r="C14" s="109">
        <f>SUM(C8:C13)</f>
        <v>729490</v>
      </c>
      <c r="D14" s="109">
        <f>SUM(D8:D13)</f>
        <v>296033</v>
      </c>
      <c r="E14" s="109">
        <f>SUM(E8:E13)</f>
        <v>63701</v>
      </c>
      <c r="F14" s="75">
        <f>SUM(F8:F13)</f>
        <v>369756</v>
      </c>
      <c r="G14" s="1"/>
      <c r="K1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6.125" style="2" bestFit="1" customWidth="1"/>
    <col min="2" max="2" width="11.25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41.25" customHeight="1">
      <c r="A1" s="769" t="s">
        <v>547</v>
      </c>
      <c r="B1" s="758"/>
      <c r="C1" s="162"/>
      <c r="D1" s="162"/>
      <c r="E1" s="162"/>
      <c r="F1" s="173"/>
    </row>
    <row r="2" spans="1:6" ht="12.75">
      <c r="A2" s="135"/>
      <c r="B2" s="174"/>
      <c r="C2" s="174"/>
      <c r="D2" s="174"/>
      <c r="E2" s="174"/>
      <c r="F2" s="175"/>
    </row>
    <row r="3" spans="1:6" ht="12.75">
      <c r="A3" s="744" t="s">
        <v>370</v>
      </c>
      <c r="B3" s="745"/>
      <c r="C3" s="174"/>
      <c r="E3" s="176"/>
      <c r="F3" s="177"/>
    </row>
    <row r="4" spans="2:3" ht="13.5" thickBot="1">
      <c r="B4" s="7" t="s">
        <v>40</v>
      </c>
      <c r="C4" s="7"/>
    </row>
    <row r="5" spans="1:3" ht="26.25" thickBot="1">
      <c r="A5" s="242" t="s">
        <v>41</v>
      </c>
      <c r="B5" s="425" t="s">
        <v>528</v>
      </c>
      <c r="C5" s="180"/>
    </row>
    <row r="6" spans="1:3" ht="16.5" customHeight="1">
      <c r="A6" s="243" t="s">
        <v>542</v>
      </c>
      <c r="B6" s="244">
        <f>SUM('ÖNK_Támogatásért.'!B19)</f>
        <v>101842</v>
      </c>
      <c r="C6" s="180"/>
    </row>
    <row r="7" spans="1:3" ht="16.5" customHeight="1" thickBot="1">
      <c r="A7" s="245" t="s">
        <v>548</v>
      </c>
      <c r="B7" s="246">
        <f>SUM('ÖNK_Támogatásért.'!B22)</f>
        <v>4664</v>
      </c>
      <c r="C7" s="180"/>
    </row>
    <row r="8" spans="1:3" ht="16.5" customHeight="1" thickBot="1">
      <c r="A8" s="183" t="s">
        <v>549</v>
      </c>
      <c r="B8" s="75">
        <f>SUM(B6+B7)</f>
        <v>106506</v>
      </c>
      <c r="C8" s="184"/>
    </row>
    <row r="9" spans="1:6" s="27" customFormat="1" ht="12.75">
      <c r="A9" s="185"/>
      <c r="B9" s="180"/>
      <c r="C9" s="180"/>
      <c r="F9" s="63"/>
    </row>
    <row r="10" spans="1:6" s="27" customFormat="1" ht="12.75">
      <c r="A10" s="185"/>
      <c r="B10" s="180"/>
      <c r="C10" s="180"/>
      <c r="F10" s="63"/>
    </row>
    <row r="11" spans="1:6" s="27" customFormat="1" ht="12.75">
      <c r="A11" s="185"/>
      <c r="B11" s="180"/>
      <c r="C11" s="180"/>
      <c r="F11" s="63"/>
    </row>
    <row r="12" spans="1:6" s="27" customFormat="1" ht="23.25" customHeight="1">
      <c r="A12" s="2"/>
      <c r="F12" s="63"/>
    </row>
    <row r="13" spans="1:6" s="27" customFormat="1" ht="13.5" customHeight="1">
      <c r="A13" s="2"/>
      <c r="F13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66.125" style="2" bestFit="1" customWidth="1"/>
    <col min="2" max="2" width="11.00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43.5" customHeight="1">
      <c r="A3" s="769" t="s">
        <v>551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371</v>
      </c>
      <c r="B5" s="745"/>
      <c r="C5" s="180"/>
    </row>
    <row r="6" spans="2:3" ht="13.5" thickBot="1">
      <c r="B6" s="7" t="s">
        <v>40</v>
      </c>
      <c r="C6" s="6"/>
    </row>
    <row r="7" spans="1:7" ht="39" thickBot="1">
      <c r="A7" s="426" t="s">
        <v>41</v>
      </c>
      <c r="B7" s="427" t="s">
        <v>528</v>
      </c>
      <c r="C7" s="6"/>
      <c r="F7" s="27"/>
      <c r="G7" s="2"/>
    </row>
    <row r="8" spans="1:7" ht="19.5" customHeight="1">
      <c r="A8" s="243" t="s">
        <v>552</v>
      </c>
      <c r="B8" s="244">
        <v>24540</v>
      </c>
      <c r="F8" s="27"/>
      <c r="G8" s="2"/>
    </row>
    <row r="9" spans="1:7" s="63" customFormat="1" ht="19.5" customHeight="1" thickBot="1">
      <c r="A9" s="247" t="s">
        <v>553</v>
      </c>
      <c r="B9" s="210">
        <v>6815</v>
      </c>
      <c r="C9" s="27"/>
      <c r="D9" s="27"/>
      <c r="E9" s="27"/>
      <c r="F9" s="27"/>
      <c r="G9" s="27"/>
    </row>
    <row r="10" spans="1:5" s="63" customFormat="1" ht="16.5" thickBot="1">
      <c r="A10" s="183" t="s">
        <v>554</v>
      </c>
      <c r="B10" s="75">
        <f>SUM(B8+B9)</f>
        <v>31355</v>
      </c>
      <c r="C10" s="27"/>
      <c r="D10" s="27"/>
      <c r="E10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P28"/>
  <sheetViews>
    <sheetView tabSelected="1" zoomScalePageLayoutView="0" workbookViewId="0" topLeftCell="A4">
      <selection activeCell="I20" sqref="I20"/>
    </sheetView>
  </sheetViews>
  <sheetFormatPr defaultColWidth="9.00390625" defaultRowHeight="12.75"/>
  <cols>
    <col min="1" max="1" width="73.00390625" style="2" bestFit="1" customWidth="1"/>
    <col min="2" max="2" width="8.875" style="2" customWidth="1"/>
    <col min="3" max="3" width="10.00390625" style="27" customWidth="1"/>
    <col min="4" max="4" width="11.00390625" style="27" bestFit="1" customWidth="1"/>
    <col min="5" max="5" width="12.25390625" style="27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ht="23.25" customHeight="1"/>
    <row r="3" spans="1:6" ht="15.75">
      <c r="A3" s="755" t="s">
        <v>555</v>
      </c>
      <c r="B3" s="755"/>
      <c r="C3" s="755"/>
      <c r="D3" s="755"/>
      <c r="E3" s="755"/>
      <c r="F3" s="189"/>
    </row>
    <row r="4" spans="1:6" ht="15.75">
      <c r="A4" s="279"/>
      <c r="B4" s="279"/>
      <c r="C4" s="279"/>
      <c r="D4" s="279"/>
      <c r="E4" s="279"/>
      <c r="F4" s="189"/>
    </row>
    <row r="5" ht="12.75">
      <c r="E5" s="7" t="s">
        <v>372</v>
      </c>
    </row>
    <row r="6" ht="12.75">
      <c r="E6" s="7"/>
    </row>
    <row r="7" spans="3:6" ht="13.5" thickBot="1">
      <c r="C7" s="6"/>
      <c r="D7" s="6"/>
      <c r="E7" s="7" t="s">
        <v>40</v>
      </c>
      <c r="F7" s="7"/>
    </row>
    <row r="8" spans="1:16" ht="24.75" customHeight="1">
      <c r="A8" s="746" t="s">
        <v>41</v>
      </c>
      <c r="B8" s="748" t="s">
        <v>255</v>
      </c>
      <c r="C8" s="750" t="s">
        <v>256</v>
      </c>
      <c r="D8" s="750" t="s">
        <v>257</v>
      </c>
      <c r="E8" s="752" t="s">
        <v>45</v>
      </c>
      <c r="F8" s="2"/>
      <c r="I8" s="27"/>
      <c r="J8" s="63"/>
      <c r="K8" s="63"/>
      <c r="L8" s="63"/>
      <c r="M8" s="63"/>
      <c r="N8" s="63"/>
      <c r="O8" s="63"/>
      <c r="P8" s="63"/>
    </row>
    <row r="9" spans="1:16" ht="24" customHeight="1">
      <c r="A9" s="747"/>
      <c r="B9" s="749"/>
      <c r="C9" s="751"/>
      <c r="D9" s="751"/>
      <c r="E9" s="753"/>
      <c r="F9" s="2"/>
      <c r="G9" s="27"/>
      <c r="I9" s="27"/>
      <c r="J9" s="63"/>
      <c r="K9" s="63"/>
      <c r="L9" s="63"/>
      <c r="M9" s="63"/>
      <c r="N9" s="63"/>
      <c r="O9" s="63"/>
      <c r="P9" s="63"/>
    </row>
    <row r="10" spans="1:16" ht="12.75">
      <c r="A10" s="121" t="s">
        <v>479</v>
      </c>
      <c r="B10" s="194">
        <f>SUM('ÖNK_Szoc.alap'!B9)</f>
        <v>35</v>
      </c>
      <c r="C10" s="195">
        <f>SUM(E10-D10)</f>
        <v>1077</v>
      </c>
      <c r="D10" s="196">
        <f>SUM('ÖNK_Szoc.alap'!D9)</f>
        <v>9696</v>
      </c>
      <c r="E10" s="72">
        <f>SUM('PH_Szoc.alap '!E9)</f>
        <v>10773</v>
      </c>
      <c r="F10" s="2"/>
      <c r="I10" s="27"/>
      <c r="J10" s="27"/>
      <c r="K10" s="63"/>
      <c r="L10" s="63"/>
      <c r="M10" s="63"/>
      <c r="N10" s="63"/>
      <c r="O10" s="63"/>
      <c r="P10" s="63"/>
    </row>
    <row r="11" spans="1:16" ht="12.75">
      <c r="A11" s="121" t="s">
        <v>258</v>
      </c>
      <c r="B11" s="194">
        <f>SUM('ÖNK_Szoc.alap'!B10)</f>
        <v>550</v>
      </c>
      <c r="C11" s="195">
        <f aca="true" t="shared" si="0" ref="C11:C26">SUM(E11-D11)</f>
        <v>18810</v>
      </c>
      <c r="D11" s="196">
        <f>SUM('ÖNK_Szoc.alap'!D10)</f>
        <v>169290</v>
      </c>
      <c r="E11" s="72">
        <f>SUM('PH_Szoc.alap '!E10)</f>
        <v>188100</v>
      </c>
      <c r="F11" s="2"/>
      <c r="I11" s="27"/>
      <c r="J11" s="27"/>
      <c r="K11" s="63"/>
      <c r="L11" s="63"/>
      <c r="M11" s="63"/>
      <c r="N11" s="63"/>
      <c r="O11" s="63"/>
      <c r="P11" s="63"/>
    </row>
    <row r="12" spans="1:16" ht="12.75">
      <c r="A12" s="121" t="s">
        <v>485</v>
      </c>
      <c r="B12" s="194">
        <f>SUM('ÖNK_Szoc.alap'!B11)</f>
        <v>6</v>
      </c>
      <c r="C12" s="195">
        <f t="shared" si="0"/>
        <v>16</v>
      </c>
      <c r="D12" s="196">
        <f>SUM('ÖNK_Szoc.alap'!D11)</f>
        <v>142</v>
      </c>
      <c r="E12" s="72">
        <f>SUM('PH_Szoc.alap '!E11)</f>
        <v>158</v>
      </c>
      <c r="F12" s="2"/>
      <c r="I12" s="27"/>
      <c r="J12" s="27"/>
      <c r="K12" s="63"/>
      <c r="L12" s="63"/>
      <c r="M12" s="63"/>
      <c r="N12" s="63"/>
      <c r="O12" s="63"/>
      <c r="P12" s="63"/>
    </row>
    <row r="13" spans="1:16" ht="12.75">
      <c r="A13" s="121" t="s">
        <v>259</v>
      </c>
      <c r="B13" s="194">
        <f>SUM('ÖNK_Szoc.alap'!B12)</f>
        <v>850</v>
      </c>
      <c r="C13" s="195">
        <f t="shared" si="0"/>
        <v>5100</v>
      </c>
      <c r="D13" s="196">
        <f>SUM('ÖNK_Szoc.alap'!D12)</f>
        <v>45900</v>
      </c>
      <c r="E13" s="72">
        <f>SUM('PH_Szoc.alap '!E12)</f>
        <v>51000</v>
      </c>
      <c r="F13" s="6"/>
      <c r="I13" s="27"/>
      <c r="J13" s="27"/>
      <c r="K13" s="63"/>
      <c r="L13" s="63"/>
      <c r="M13" s="63"/>
      <c r="N13" s="63"/>
      <c r="O13" s="63"/>
      <c r="P13" s="63"/>
    </row>
    <row r="14" spans="1:16" ht="12.75">
      <c r="A14" s="121" t="s">
        <v>484</v>
      </c>
      <c r="B14" s="194">
        <f>SUM('ÖNK_Szoc.alap'!B13)</f>
        <v>87</v>
      </c>
      <c r="C14" s="195">
        <f t="shared" si="0"/>
        <v>3572</v>
      </c>
      <c r="D14" s="196">
        <f>SUM('ÖNK_Szoc.alap'!D13)</f>
        <v>2234</v>
      </c>
      <c r="E14" s="72">
        <f>SUM('PH_Szoc.alap '!E13)</f>
        <v>5806</v>
      </c>
      <c r="F14" s="2"/>
      <c r="I14" s="27"/>
      <c r="J14" s="190"/>
      <c r="K14" s="191"/>
      <c r="L14" s="63"/>
      <c r="M14" s="191"/>
      <c r="N14" s="63"/>
      <c r="O14" s="63"/>
      <c r="P14" s="63"/>
    </row>
    <row r="15" spans="1:16" ht="12.75">
      <c r="A15" s="121" t="s">
        <v>261</v>
      </c>
      <c r="B15" s="194">
        <f>SUM('ÖNK_Szoc.alap'!B14)</f>
        <v>120</v>
      </c>
      <c r="C15" s="195">
        <f t="shared" si="0"/>
        <v>1200</v>
      </c>
      <c r="D15" s="196">
        <f>SUM('ÖNK_Szoc.alap'!D14)</f>
        <v>0</v>
      </c>
      <c r="E15" s="72">
        <f>SUM('ÖNK_Szoc.alap'!E14)</f>
        <v>1200</v>
      </c>
      <c r="F15" s="2"/>
      <c r="G15" s="6"/>
      <c r="I15" s="27"/>
      <c r="J15" s="27"/>
      <c r="K15" s="63"/>
      <c r="L15" s="63"/>
      <c r="M15" s="63"/>
      <c r="N15" s="63"/>
      <c r="O15" s="63"/>
      <c r="P15" s="63"/>
    </row>
    <row r="16" spans="1:16" ht="12.75">
      <c r="A16" s="121" t="s">
        <v>262</v>
      </c>
      <c r="B16" s="194">
        <f>SUM('ÖNK_Szoc.alap'!B15)</f>
        <v>25</v>
      </c>
      <c r="C16" s="195">
        <f t="shared" si="0"/>
        <v>800</v>
      </c>
      <c r="D16" s="196">
        <f>SUM('ÖNK_Szoc.alap'!D15)</f>
        <v>0</v>
      </c>
      <c r="E16" s="72">
        <f>SUM('ÖNK_Szoc.alap'!E15)</f>
        <v>800</v>
      </c>
      <c r="F16" s="2"/>
      <c r="I16" s="27"/>
      <c r="J16" s="27"/>
      <c r="K16" s="63"/>
      <c r="L16" s="63"/>
      <c r="M16" s="63"/>
      <c r="N16" s="63"/>
      <c r="O16" s="63"/>
      <c r="P16" s="63"/>
    </row>
    <row r="17" spans="1:16" ht="12.75">
      <c r="A17" s="121" t="s">
        <v>263</v>
      </c>
      <c r="B17" s="194">
        <f>SUM('ÖNK_Szoc.alap'!B16)</f>
        <v>75</v>
      </c>
      <c r="C17" s="195">
        <f t="shared" si="0"/>
        <v>750</v>
      </c>
      <c r="D17" s="196">
        <f>SUM('ÖNK_Szoc.alap'!D16)</f>
        <v>0</v>
      </c>
      <c r="E17" s="72">
        <f>SUM('ÖNK_Szoc.alap'!E16)</f>
        <v>750</v>
      </c>
      <c r="F17" s="2"/>
      <c r="I17" s="27"/>
      <c r="J17" s="27"/>
      <c r="K17" s="63"/>
      <c r="L17" s="63"/>
      <c r="M17" s="63"/>
      <c r="N17" s="63"/>
      <c r="O17" s="63"/>
      <c r="P17" s="63"/>
    </row>
    <row r="18" spans="1:16" ht="12.75">
      <c r="A18" s="121" t="s">
        <v>264</v>
      </c>
      <c r="B18" s="194">
        <f>SUM('ÖNK_Szoc.alap'!B17)</f>
        <v>0</v>
      </c>
      <c r="C18" s="195">
        <f t="shared" si="0"/>
        <v>0</v>
      </c>
      <c r="D18" s="194">
        <f>SUM('ÖNK_Szoc.alap'!D17)</f>
        <v>0</v>
      </c>
      <c r="E18" s="315">
        <f>SUM('ÖNK_Szoc.alap'!E17)</f>
        <v>0</v>
      </c>
      <c r="F18" s="2"/>
      <c r="I18" s="27"/>
      <c r="J18" s="27"/>
      <c r="K18" s="63"/>
      <c r="L18" s="63"/>
      <c r="M18" s="63"/>
      <c r="N18" s="63"/>
      <c r="O18" s="63"/>
      <c r="P18" s="63"/>
    </row>
    <row r="19" spans="1:16" ht="12.75" customHeight="1">
      <c r="A19" s="455" t="s">
        <v>480</v>
      </c>
      <c r="B19" s="194">
        <f>SUM('ÖNK_Szoc.alap'!B19)</f>
        <v>1000</v>
      </c>
      <c r="C19" s="195">
        <f>SUM('ÖNK_Szoc.alap'!C19)</f>
        <v>0</v>
      </c>
      <c r="D19" s="316">
        <f>SUM('ÖNK_Szoc.alap'!D19)</f>
        <v>12760</v>
      </c>
      <c r="E19" s="72">
        <f>SUM('ÖNK_Szoc.alap'!E19)</f>
        <v>12760</v>
      </c>
      <c r="F19" s="2"/>
      <c r="I19" s="27"/>
      <c r="J19" s="27"/>
      <c r="K19" s="63"/>
      <c r="L19" s="63"/>
      <c r="M19" s="63"/>
      <c r="N19" s="63"/>
      <c r="O19" s="63"/>
      <c r="P19" s="63"/>
    </row>
    <row r="20" spans="1:16" ht="12.75">
      <c r="A20" s="192" t="s">
        <v>265</v>
      </c>
      <c r="B20" s="194">
        <f>SUM('ÖNK_Szoc.alap'!B18)</f>
        <v>1</v>
      </c>
      <c r="C20" s="195">
        <f t="shared" si="0"/>
        <v>24</v>
      </c>
      <c r="D20" s="196">
        <f>SUM('ÖNK_Szoc.alap'!D18)</f>
        <v>0</v>
      </c>
      <c r="E20" s="72">
        <f>SUM('ÖNK_Szoc.alap'!E18)</f>
        <v>24</v>
      </c>
      <c r="F20" s="2"/>
      <c r="I20" s="27"/>
      <c r="J20" s="27"/>
      <c r="K20" s="63"/>
      <c r="L20" s="63"/>
      <c r="M20" s="63"/>
      <c r="N20" s="63"/>
      <c r="O20" s="63"/>
      <c r="P20" s="63"/>
    </row>
    <row r="21" spans="1:16" ht="12.75">
      <c r="A21" s="192" t="s">
        <v>266</v>
      </c>
      <c r="B21" s="194">
        <f>SUM('PH_Szoc.alap '!B15)</f>
        <v>33</v>
      </c>
      <c r="C21" s="195">
        <f t="shared" si="0"/>
        <v>0</v>
      </c>
      <c r="D21" s="316">
        <f>SUM('ÖNK_Szoc.alap'!D20)</f>
        <v>660</v>
      </c>
      <c r="E21" s="315">
        <f>SUM('PH_Szoc.alap '!E15)</f>
        <v>660</v>
      </c>
      <c r="F21" s="2"/>
      <c r="I21" s="27"/>
      <c r="J21" s="27"/>
      <c r="K21" s="63"/>
      <c r="L21" s="63"/>
      <c r="M21" s="63"/>
      <c r="N21" s="63"/>
      <c r="O21" s="63"/>
      <c r="P21" s="63"/>
    </row>
    <row r="22" spans="1:16" ht="12.75">
      <c r="A22" s="192" t="s">
        <v>267</v>
      </c>
      <c r="B22" s="194">
        <f>SUM('PH_Szoc.alap '!B16)</f>
        <v>90</v>
      </c>
      <c r="C22" s="195">
        <f t="shared" si="0"/>
        <v>0</v>
      </c>
      <c r="D22" s="316">
        <f>SUM('ÖNK_Szoc.alap'!D21)</f>
        <v>1800</v>
      </c>
      <c r="E22" s="315">
        <f>SUM('PH_Szoc.alap '!E16)</f>
        <v>1800</v>
      </c>
      <c r="F22" s="2"/>
      <c r="I22" s="27"/>
      <c r="J22" s="27"/>
      <c r="K22" s="63"/>
      <c r="L22" s="63"/>
      <c r="M22" s="63"/>
      <c r="N22" s="63"/>
      <c r="O22" s="63"/>
      <c r="P22" s="63"/>
    </row>
    <row r="23" spans="1:16" ht="12.75">
      <c r="A23" s="121" t="s">
        <v>7</v>
      </c>
      <c r="B23" s="194">
        <f>SUM('PH_Szoc.alap '!B17)</f>
        <v>25</v>
      </c>
      <c r="C23" s="195">
        <f t="shared" si="0"/>
        <v>600</v>
      </c>
      <c r="D23" s="194">
        <f>SUM('PH_Szoc.alap '!D17)</f>
        <v>0</v>
      </c>
      <c r="E23" s="315">
        <f>SUM('PH_Szoc.alap '!E17)</f>
        <v>600</v>
      </c>
      <c r="F23" s="2"/>
      <c r="I23" s="27"/>
      <c r="J23" s="27"/>
      <c r="K23" s="63"/>
      <c r="L23" s="63"/>
      <c r="M23" s="63"/>
      <c r="N23" s="63"/>
      <c r="O23" s="63"/>
      <c r="P23" s="63"/>
    </row>
    <row r="24" spans="1:16" ht="12.75">
      <c r="A24" s="122" t="s">
        <v>268</v>
      </c>
      <c r="B24" s="197">
        <f>SUM('ÖNK_Szoc.alap'!B22)</f>
        <v>10</v>
      </c>
      <c r="C24" s="195">
        <f t="shared" si="0"/>
        <v>1000</v>
      </c>
      <c r="D24" s="196">
        <f>SUM('ÖNK_Szoc.alap'!D22)</f>
        <v>0</v>
      </c>
      <c r="E24" s="72">
        <f>SUM('ÖNK_Szoc.alap'!E22)</f>
        <v>1000</v>
      </c>
      <c r="F24" s="2"/>
      <c r="I24" s="27"/>
      <c r="J24" s="27"/>
      <c r="K24" s="63"/>
      <c r="L24" s="63"/>
      <c r="M24" s="63"/>
      <c r="N24" s="63"/>
      <c r="O24" s="63"/>
      <c r="P24" s="63"/>
    </row>
    <row r="25" spans="1:16" ht="12.75">
      <c r="A25" s="122" t="s">
        <v>428</v>
      </c>
      <c r="B25" s="197">
        <f>SUM('ÖNK_Szoc.alap'!B23)</f>
        <v>470</v>
      </c>
      <c r="C25" s="195">
        <f t="shared" si="0"/>
        <v>0</v>
      </c>
      <c r="D25" s="196">
        <f>SUM('ÖNK_Szoc.alap'!D23)</f>
        <v>9099</v>
      </c>
      <c r="E25" s="73">
        <f>SUM('ÖNK_Szoc.alap'!E23)</f>
        <v>9099</v>
      </c>
      <c r="F25" s="2"/>
      <c r="I25" s="27"/>
      <c r="J25" s="27"/>
      <c r="K25" s="63"/>
      <c r="L25" s="63"/>
      <c r="M25" s="63"/>
      <c r="N25" s="63"/>
      <c r="O25" s="63"/>
      <c r="P25" s="63"/>
    </row>
    <row r="26" spans="1:16" ht="13.5" thickBot="1">
      <c r="A26" s="122" t="s">
        <v>270</v>
      </c>
      <c r="B26" s="197">
        <f>SUM('ÖNK_Szoc.alap'!B24)</f>
        <v>1</v>
      </c>
      <c r="C26" s="198">
        <f t="shared" si="0"/>
        <v>0</v>
      </c>
      <c r="D26" s="196">
        <f>SUM('ÖNK_Szoc.alap'!D24)</f>
        <v>11</v>
      </c>
      <c r="E26" s="73">
        <f>SUM('ÖNK_Szoc.alap'!E24)</f>
        <v>11</v>
      </c>
      <c r="F26" s="2"/>
      <c r="I26" s="27"/>
      <c r="J26" s="27"/>
      <c r="K26" s="63"/>
      <c r="L26" s="63"/>
      <c r="M26" s="63"/>
      <c r="N26" s="63"/>
      <c r="O26" s="63"/>
      <c r="P26" s="63"/>
    </row>
    <row r="27" spans="1:10" ht="18.75" customHeight="1" thickBot="1">
      <c r="A27" s="22" t="s">
        <v>272</v>
      </c>
      <c r="B27" s="193"/>
      <c r="C27" s="107">
        <f>SUM(C10:C26)</f>
        <v>32949</v>
      </c>
      <c r="D27" s="107">
        <f>SUM(D10:D26)</f>
        <v>251592</v>
      </c>
      <c r="E27" s="149">
        <f>SUM(E10:E26)</f>
        <v>284541</v>
      </c>
      <c r="F27" s="2"/>
      <c r="I27" s="2"/>
      <c r="J27" s="2"/>
    </row>
    <row r="28" spans="8:10" ht="24" customHeight="1">
      <c r="H28" s="27"/>
      <c r="I28" s="2"/>
      <c r="J28" s="2"/>
    </row>
  </sheetData>
  <sheetProtection/>
  <mergeCells count="6">
    <mergeCell ref="A3:E3"/>
    <mergeCell ref="A8:A9"/>
    <mergeCell ref="B8:B9"/>
    <mergeCell ref="C8:C9"/>
    <mergeCell ref="D8:D9"/>
    <mergeCell ref="E8:E9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B11" sqref="B11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3" ht="18">
      <c r="A1" s="774" t="s">
        <v>556</v>
      </c>
      <c r="B1" s="774"/>
      <c r="C1" s="7"/>
    </row>
    <row r="2" spans="1:3" ht="18">
      <c r="A2" s="212"/>
      <c r="B2" s="212"/>
      <c r="C2" s="7"/>
    </row>
    <row r="3" spans="1:3" ht="18">
      <c r="A3" s="212"/>
      <c r="B3" s="289" t="s">
        <v>373</v>
      </c>
      <c r="C3" s="7"/>
    </row>
    <row r="4" spans="1:3" ht="18">
      <c r="A4" s="212"/>
      <c r="B4" s="212"/>
      <c r="C4" s="7"/>
    </row>
    <row r="5" spans="2:3" ht="23.25" customHeight="1" thickBot="1">
      <c r="B5" s="90" t="s">
        <v>40</v>
      </c>
      <c r="C5" s="90"/>
    </row>
    <row r="6" spans="1:6" s="201" customFormat="1" ht="30" customHeight="1" thickBot="1">
      <c r="A6" s="416" t="s">
        <v>41</v>
      </c>
      <c r="B6" s="418" t="s">
        <v>528</v>
      </c>
      <c r="C6" s="199"/>
      <c r="D6" s="200"/>
      <c r="E6" s="200"/>
      <c r="F6" s="200"/>
    </row>
    <row r="7" spans="1:7" ht="20.25" customHeight="1">
      <c r="A7" s="156" t="s">
        <v>274</v>
      </c>
      <c r="B7" s="248">
        <v>331187</v>
      </c>
      <c r="C7" s="204"/>
      <c r="D7" s="27"/>
      <c r="G7" s="2"/>
    </row>
    <row r="8" spans="1:7" ht="20.25" customHeight="1" thickBot="1">
      <c r="A8" s="156" t="s">
        <v>275</v>
      </c>
      <c r="B8" s="249">
        <v>70797</v>
      </c>
      <c r="C8" s="204"/>
      <c r="D8" s="27"/>
      <c r="G8" s="2"/>
    </row>
    <row r="9" spans="1:7" ht="20.25" customHeight="1" thickBot="1">
      <c r="A9" s="22" t="s">
        <v>276</v>
      </c>
      <c r="B9" s="205">
        <f>SUM(B8,B7)</f>
        <v>401984</v>
      </c>
      <c r="C9" s="204"/>
      <c r="D9" s="27"/>
      <c r="G9" s="2"/>
    </row>
    <row r="10" spans="3:7" ht="20.25" customHeight="1">
      <c r="C10" s="204"/>
      <c r="D10" s="27"/>
      <c r="G10" s="2"/>
    </row>
    <row r="11" spans="3:7" ht="20.25" customHeight="1">
      <c r="C11" s="204"/>
      <c r="D11" s="27"/>
      <c r="G11" s="2"/>
    </row>
    <row r="12" spans="3:7" ht="20.25" customHeight="1">
      <c r="C12" s="204"/>
      <c r="D12" s="27"/>
      <c r="G12" s="2"/>
    </row>
    <row r="13" spans="3:7" ht="20.25" customHeight="1">
      <c r="C13" s="204"/>
      <c r="D13" s="27"/>
      <c r="G13" s="2"/>
    </row>
    <row r="14" spans="3:7" ht="20.25" customHeight="1">
      <c r="C14" s="204"/>
      <c r="D14" s="27"/>
      <c r="G14" s="2"/>
    </row>
    <row r="15" spans="3:7" ht="20.25" customHeight="1">
      <c r="C15" s="204"/>
      <c r="D15" s="27"/>
      <c r="G15" s="2"/>
    </row>
    <row r="16" spans="3:7" ht="20.25" customHeight="1">
      <c r="C16" s="206"/>
      <c r="D16" s="27"/>
      <c r="G16" s="2"/>
    </row>
    <row r="17" spans="3:7" ht="20.25" customHeight="1">
      <c r="C17" s="204"/>
      <c r="D17" s="27"/>
      <c r="F17" s="27"/>
      <c r="G17" s="2"/>
    </row>
    <row r="18" spans="3:7" ht="20.25" customHeight="1">
      <c r="C18" s="204"/>
      <c r="D18" s="27"/>
      <c r="F18" s="27"/>
      <c r="G18" s="2"/>
    </row>
    <row r="19" spans="3:7" ht="20.25" customHeight="1">
      <c r="C19" s="204"/>
      <c r="D19" s="27"/>
      <c r="G19" s="2"/>
    </row>
    <row r="20" spans="1:7" s="201" customFormat="1" ht="20.25" customHeight="1">
      <c r="A20" s="2"/>
      <c r="B20" s="30"/>
      <c r="C20" s="204"/>
      <c r="D20" s="203"/>
      <c r="E20" s="200"/>
      <c r="F20" s="200"/>
      <c r="G20" s="200"/>
    </row>
    <row r="21" spans="3:7" ht="20.25" customHeight="1">
      <c r="C21" s="204"/>
      <c r="D21" s="27"/>
      <c r="G21" s="2"/>
    </row>
    <row r="22" spans="3:7" ht="20.25" customHeight="1">
      <c r="C22" s="204"/>
      <c r="D22" s="27"/>
      <c r="G22" s="2"/>
    </row>
    <row r="23" spans="3:7" ht="20.25" customHeight="1">
      <c r="C23" s="206"/>
      <c r="D23" s="27"/>
      <c r="G23" s="2"/>
    </row>
    <row r="24" spans="3:7" ht="20.25" customHeight="1">
      <c r="C24" s="207"/>
      <c r="D24" s="27"/>
      <c r="G24" s="2"/>
    </row>
    <row r="25" ht="20.25" customHeight="1">
      <c r="G25" s="2"/>
    </row>
    <row r="26" ht="20.25" customHeight="1">
      <c r="G26" s="2"/>
    </row>
    <row r="27" ht="20.25" customHeight="1">
      <c r="G27" s="2"/>
    </row>
    <row r="28" ht="20.25" customHeight="1">
      <c r="G28" s="2"/>
    </row>
    <row r="29" spans="2:3" s="2" customFormat="1" ht="20.25" customHeight="1">
      <c r="B29" s="30"/>
      <c r="C29" s="30"/>
    </row>
    <row r="30" spans="2:3" s="2" customFormat="1" ht="20.25" customHeight="1">
      <c r="B30" s="30"/>
      <c r="C30" s="30"/>
    </row>
    <row r="31" spans="2:3" s="2" customFormat="1" ht="20.25" customHeight="1">
      <c r="B31" s="30"/>
      <c r="C31" s="30"/>
    </row>
    <row r="32" spans="2:3" s="2" customFormat="1" ht="20.25" customHeight="1">
      <c r="B32" s="30"/>
      <c r="C32" s="30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7"/>
  <sheetViews>
    <sheetView zoomScale="90" zoomScaleNormal="90" workbookViewId="0" topLeftCell="C1">
      <selection activeCell="N14" sqref="N14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5" width="11.625" style="2" customWidth="1"/>
    <col min="6" max="6" width="9.875" style="414" bestFit="1" customWidth="1"/>
    <col min="7" max="7" width="4.25390625" style="2" customWidth="1"/>
    <col min="8" max="8" width="61.125" style="2" bestFit="1" customWidth="1"/>
    <col min="9" max="11" width="11.625" style="2" customWidth="1"/>
    <col min="12" max="12" width="9.875" style="414" bestFit="1" customWidth="1"/>
    <col min="13" max="16" width="9.125" style="2" customWidth="1"/>
    <col min="17" max="17" width="9.875" style="2" bestFit="1" customWidth="1"/>
    <col min="18" max="20" width="9.125" style="2" customWidth="1"/>
  </cols>
  <sheetData>
    <row r="1" spans="2:14" ht="18" customHeight="1">
      <c r="B1" s="113"/>
      <c r="C1" s="113"/>
      <c r="D1" s="113"/>
      <c r="E1" s="754"/>
      <c r="F1" s="754"/>
      <c r="G1" s="754"/>
      <c r="H1" s="113"/>
      <c r="I1" s="114"/>
      <c r="J1" s="114"/>
      <c r="K1" s="114"/>
      <c r="L1" s="415"/>
      <c r="M1" s="29"/>
      <c r="N1" s="29"/>
    </row>
    <row r="2" spans="3:12" ht="15" customHeight="1" thickBot="1">
      <c r="C2" s="90"/>
      <c r="D2" s="90"/>
      <c r="E2" s="90"/>
      <c r="F2" s="428" t="s">
        <v>40</v>
      </c>
      <c r="I2" s="90"/>
      <c r="J2" s="90"/>
      <c r="K2" s="90"/>
      <c r="L2" s="428" t="s">
        <v>40</v>
      </c>
    </row>
    <row r="3" spans="2:12" ht="28.5" customHeight="1" thickBot="1">
      <c r="B3" s="252" t="s">
        <v>72</v>
      </c>
      <c r="C3" s="499" t="s">
        <v>558</v>
      </c>
      <c r="D3" s="499" t="s">
        <v>749</v>
      </c>
      <c r="E3" s="499" t="s">
        <v>524</v>
      </c>
      <c r="F3" s="499" t="s">
        <v>557</v>
      </c>
      <c r="H3" s="252" t="s">
        <v>74</v>
      </c>
      <c r="I3" s="499" t="s">
        <v>558</v>
      </c>
      <c r="J3" s="499" t="s">
        <v>749</v>
      </c>
      <c r="K3" s="499" t="s">
        <v>524</v>
      </c>
      <c r="L3" s="499" t="s">
        <v>557</v>
      </c>
    </row>
    <row r="4" spans="2:12" ht="15" customHeight="1">
      <c r="B4" s="211" t="s">
        <v>437</v>
      </c>
      <c r="C4" s="500">
        <v>20540</v>
      </c>
      <c r="D4" s="500">
        <v>7346</v>
      </c>
      <c r="E4" s="500">
        <f>SUM(ÖNK_Mérleg!C4)</f>
        <v>213613</v>
      </c>
      <c r="F4" s="501">
        <v>220021</v>
      </c>
      <c r="H4" s="276" t="s">
        <v>119</v>
      </c>
      <c r="I4" s="514">
        <v>465734</v>
      </c>
      <c r="J4" s="514">
        <v>117073</v>
      </c>
      <c r="K4" s="514">
        <f>SUM(Össz_Fejlesztések!B7)</f>
        <v>331187</v>
      </c>
      <c r="L4" s="514">
        <v>341123</v>
      </c>
    </row>
    <row r="5" spans="2:17" ht="15" customHeight="1">
      <c r="B5" s="317" t="s">
        <v>91</v>
      </c>
      <c r="C5" s="502">
        <v>19661</v>
      </c>
      <c r="D5" s="502">
        <v>6349</v>
      </c>
      <c r="E5" s="502">
        <f>SUM('Össz_Felhalmozási és tőke.bev'!B7)</f>
        <v>3921</v>
      </c>
      <c r="F5" s="503">
        <v>4039</v>
      </c>
      <c r="H5" s="274" t="s">
        <v>120</v>
      </c>
      <c r="I5" s="504">
        <v>79593</v>
      </c>
      <c r="J5" s="504">
        <v>0</v>
      </c>
      <c r="K5" s="504">
        <f>SUM(Össz_Fejlesztések!B8)</f>
        <v>70797</v>
      </c>
      <c r="L5" s="504">
        <v>72921</v>
      </c>
      <c r="Q5" s="27"/>
    </row>
    <row r="6" spans="2:12" ht="15" customHeight="1">
      <c r="B6" s="55" t="s">
        <v>211</v>
      </c>
      <c r="C6" s="502"/>
      <c r="D6" s="502">
        <v>0</v>
      </c>
      <c r="E6" s="502">
        <f>SUM('Össz_Felhalmozási és tőke.bev'!B8)</f>
        <v>13604</v>
      </c>
      <c r="F6" s="503">
        <v>14012</v>
      </c>
      <c r="H6" s="274" t="s">
        <v>250</v>
      </c>
      <c r="I6" s="504">
        <v>64592</v>
      </c>
      <c r="J6" s="504">
        <v>11366</v>
      </c>
      <c r="K6" s="504">
        <f>SUM('Össz_Támogatásért.'!B7)</f>
        <v>4664</v>
      </c>
      <c r="L6" s="504">
        <v>4804</v>
      </c>
    </row>
    <row r="7" spans="2:12" ht="15" customHeight="1">
      <c r="B7" s="86" t="s">
        <v>94</v>
      </c>
      <c r="C7" s="504">
        <v>63759</v>
      </c>
      <c r="D7" s="504">
        <v>54850</v>
      </c>
      <c r="E7" s="504">
        <f>SUM('Össz_Tám. ért. bev.'!B7)</f>
        <v>3347</v>
      </c>
      <c r="F7" s="505">
        <v>3448</v>
      </c>
      <c r="H7" s="274" t="s">
        <v>251</v>
      </c>
      <c r="I7" s="504">
        <v>9797</v>
      </c>
      <c r="J7" s="504">
        <v>8932</v>
      </c>
      <c r="K7" s="504">
        <f>SUM('Össz_Pe. átad. '!B9)</f>
        <v>6815</v>
      </c>
      <c r="L7" s="504">
        <v>7019</v>
      </c>
    </row>
    <row r="8" spans="2:12" ht="15" customHeight="1">
      <c r="B8" s="86" t="s">
        <v>127</v>
      </c>
      <c r="C8" s="504">
        <v>389673</v>
      </c>
      <c r="D8" s="504">
        <v>45225</v>
      </c>
      <c r="E8" s="504">
        <f>SUM('Össz_Átvett pe.'!B7)</f>
        <v>354683</v>
      </c>
      <c r="F8" s="505">
        <v>365323</v>
      </c>
      <c r="H8" s="275" t="s">
        <v>278</v>
      </c>
      <c r="I8" s="506">
        <v>11576</v>
      </c>
      <c r="J8" s="506">
        <v>13075</v>
      </c>
      <c r="K8" s="506">
        <f>SUM('Össz_Összes kiadás'!C24)</f>
        <v>14040</v>
      </c>
      <c r="L8" s="506">
        <v>14461</v>
      </c>
    </row>
    <row r="9" spans="2:17" ht="15" customHeight="1">
      <c r="B9" s="55" t="s">
        <v>128</v>
      </c>
      <c r="C9" s="504">
        <v>14630</v>
      </c>
      <c r="D9" s="504">
        <v>90</v>
      </c>
      <c r="E9" s="504">
        <f>SUM('Össz_Összes bevétel'!B21)</f>
        <v>0</v>
      </c>
      <c r="F9" s="505">
        <v>0</v>
      </c>
      <c r="H9" s="275" t="s">
        <v>279</v>
      </c>
      <c r="I9" s="506">
        <v>33603</v>
      </c>
      <c r="J9" s="506">
        <v>32179</v>
      </c>
      <c r="K9" s="506">
        <f>SUM('Össz_Összes kiadás'!C25)</f>
        <v>231129</v>
      </c>
      <c r="L9" s="506">
        <v>238063</v>
      </c>
      <c r="Q9" s="27"/>
    </row>
    <row r="10" spans="2:12" ht="15" customHeight="1">
      <c r="B10" s="209" t="s">
        <v>229</v>
      </c>
      <c r="C10" s="506"/>
      <c r="D10" s="506">
        <v>90</v>
      </c>
      <c r="E10" s="506">
        <f>SUM('Össz_Összes bevétel'!B26)</f>
        <v>668</v>
      </c>
      <c r="F10" s="507">
        <v>688</v>
      </c>
      <c r="H10" s="275"/>
      <c r="I10" s="506"/>
      <c r="J10" s="506"/>
      <c r="K10" s="506"/>
      <c r="L10" s="506"/>
    </row>
    <row r="11" spans="2:12" ht="15" customHeight="1" thickBot="1">
      <c r="B11" s="171" t="s">
        <v>232</v>
      </c>
      <c r="C11" s="508">
        <v>131610</v>
      </c>
      <c r="D11" s="508">
        <v>3882</v>
      </c>
      <c r="E11" s="508">
        <f>SUM('Össz_Összes bevétel'!B29)</f>
        <v>68796</v>
      </c>
      <c r="F11" s="509">
        <v>70860</v>
      </c>
      <c r="H11" s="277"/>
      <c r="I11" s="319"/>
      <c r="J11" s="319"/>
      <c r="K11" s="319"/>
      <c r="L11" s="515"/>
    </row>
    <row r="12" spans="2:17" ht="15" customHeight="1" thickBot="1">
      <c r="B12" s="252" t="s">
        <v>75</v>
      </c>
      <c r="C12" s="125">
        <f>SUM(C4:C11)</f>
        <v>639873</v>
      </c>
      <c r="D12" s="125">
        <f>SUM(D4:D11)</f>
        <v>117832</v>
      </c>
      <c r="E12" s="125">
        <f>SUM(E4:E11)</f>
        <v>658632</v>
      </c>
      <c r="F12" s="125">
        <f>SUM(F4:F11)</f>
        <v>678391</v>
      </c>
      <c r="H12" s="252" t="s">
        <v>76</v>
      </c>
      <c r="I12" s="125">
        <f>SUM(I4:I11)</f>
        <v>664895</v>
      </c>
      <c r="J12" s="125">
        <f>SUM(J4:J11)</f>
        <v>182625</v>
      </c>
      <c r="K12" s="125">
        <f>SUM(K4:K11)</f>
        <v>658632</v>
      </c>
      <c r="L12" s="125">
        <f>SUM(L4:L11)</f>
        <v>678391</v>
      </c>
      <c r="M12" s="27"/>
      <c r="Q12" s="27"/>
    </row>
    <row r="13" spans="2:12" ht="15.75" customHeight="1" thickBot="1">
      <c r="B13" s="126"/>
      <c r="C13" s="510"/>
      <c r="D13" s="510"/>
      <c r="E13" s="510"/>
      <c r="F13" s="510"/>
      <c r="I13" s="516"/>
      <c r="J13" s="516"/>
      <c r="K13" s="516"/>
      <c r="L13" s="516"/>
    </row>
    <row r="14" spans="2:12" ht="29.25" customHeight="1" thickBot="1">
      <c r="B14" s="252" t="s">
        <v>77</v>
      </c>
      <c r="C14" s="499" t="s">
        <v>558</v>
      </c>
      <c r="D14" s="499" t="s">
        <v>749</v>
      </c>
      <c r="E14" s="499" t="s">
        <v>524</v>
      </c>
      <c r="F14" s="499" t="s">
        <v>557</v>
      </c>
      <c r="H14" s="252" t="s">
        <v>78</v>
      </c>
      <c r="I14" s="499" t="s">
        <v>558</v>
      </c>
      <c r="J14" s="499" t="s">
        <v>749</v>
      </c>
      <c r="K14" s="499" t="s">
        <v>524</v>
      </c>
      <c r="L14" s="499" t="s">
        <v>557</v>
      </c>
    </row>
    <row r="15" spans="2:12" ht="15" customHeight="1">
      <c r="B15" s="211" t="s">
        <v>82</v>
      </c>
      <c r="C15" s="502">
        <f>8739+125844</f>
        <v>134583</v>
      </c>
      <c r="D15" s="502">
        <v>57584</v>
      </c>
      <c r="E15" s="502">
        <f>SUM('Össz_Int.műk.bev. '!B15)</f>
        <v>86503</v>
      </c>
      <c r="F15" s="502">
        <v>89098</v>
      </c>
      <c r="H15" s="211" t="s">
        <v>112</v>
      </c>
      <c r="I15" s="502">
        <v>232441</v>
      </c>
      <c r="J15" s="502">
        <v>263844</v>
      </c>
      <c r="K15" s="502">
        <f>SUM('Össz_Összes kiadás'!C9)</f>
        <v>296033</v>
      </c>
      <c r="L15" s="502">
        <v>304914</v>
      </c>
    </row>
    <row r="16" spans="1:20" s="18" customFormat="1" ht="15" customHeight="1">
      <c r="A16" s="17"/>
      <c r="B16" s="211" t="s">
        <v>191</v>
      </c>
      <c r="C16" s="502">
        <v>343722</v>
      </c>
      <c r="D16" s="502">
        <v>345894</v>
      </c>
      <c r="E16" s="502">
        <f>SUM('Össz_Önk.sajátos műk.bev.'!B10)</f>
        <v>88380</v>
      </c>
      <c r="F16" s="502">
        <v>91031</v>
      </c>
      <c r="G16" s="17"/>
      <c r="H16" s="274" t="s">
        <v>113</v>
      </c>
      <c r="I16" s="504">
        <v>59030</v>
      </c>
      <c r="J16" s="504">
        <v>56281</v>
      </c>
      <c r="K16" s="504">
        <f>SUM('Össz_Összes kiadás'!C10)</f>
        <v>63701</v>
      </c>
      <c r="L16" s="504">
        <v>65612</v>
      </c>
      <c r="M16" s="17"/>
      <c r="N16" s="2"/>
      <c r="O16" s="2"/>
      <c r="P16" s="17"/>
      <c r="Q16" s="17"/>
      <c r="R16" s="17"/>
      <c r="S16" s="17"/>
      <c r="T16" s="17"/>
    </row>
    <row r="17" spans="2:17" ht="15" customHeight="1">
      <c r="B17" s="211" t="s">
        <v>204</v>
      </c>
      <c r="C17" s="502">
        <f>421067-20540</f>
        <v>400527</v>
      </c>
      <c r="D17" s="511">
        <f>430095-D4</f>
        <v>422749</v>
      </c>
      <c r="E17" s="502">
        <f>SUM('Össz_költségv.tám.'!B12-E4)</f>
        <v>783135</v>
      </c>
      <c r="F17" s="502">
        <v>768088</v>
      </c>
      <c r="H17" s="274" t="s">
        <v>114</v>
      </c>
      <c r="I17" s="504">
        <f>306942-6786-15740</f>
        <v>284416</v>
      </c>
      <c r="J17" s="504">
        <f>293460-3119-3393-13075</f>
        <v>273873</v>
      </c>
      <c r="K17" s="504">
        <f>SUM('Össz_Összes kiadás'!C11)</f>
        <v>369756</v>
      </c>
      <c r="L17" s="504">
        <v>380849</v>
      </c>
      <c r="Q17" s="27"/>
    </row>
    <row r="18" spans="2:12" ht="15" customHeight="1">
      <c r="B18" s="86" t="s">
        <v>93</v>
      </c>
      <c r="C18" s="504">
        <v>129559</v>
      </c>
      <c r="D18" s="504">
        <f>188798+2441+19</f>
        <v>191258</v>
      </c>
      <c r="E18" s="504">
        <f>SUM('Össz_Tám. ért. bev.'!B6)</f>
        <v>147831</v>
      </c>
      <c r="F18" s="505">
        <v>152266</v>
      </c>
      <c r="H18" s="274" t="s">
        <v>248</v>
      </c>
      <c r="I18" s="504">
        <v>45393</v>
      </c>
      <c r="J18" s="504">
        <f>68129+2495</f>
        <v>70624</v>
      </c>
      <c r="K18" s="504">
        <f>SUM('Össz_Összes kiadás'!C13)</f>
        <v>101842</v>
      </c>
      <c r="L18" s="504">
        <v>104897</v>
      </c>
    </row>
    <row r="19" spans="2:12" ht="15" customHeight="1">
      <c r="B19" s="86" t="s">
        <v>96</v>
      </c>
      <c r="C19" s="504">
        <v>304</v>
      </c>
      <c r="D19" s="504">
        <v>1034</v>
      </c>
      <c r="E19" s="504">
        <f>SUM('Össz_Átvett pe.'!B6)</f>
        <v>31782</v>
      </c>
      <c r="F19" s="505">
        <v>32736</v>
      </c>
      <c r="H19" s="275" t="s">
        <v>249</v>
      </c>
      <c r="I19" s="504">
        <v>33433</v>
      </c>
      <c r="J19" s="504">
        <v>31575</v>
      </c>
      <c r="K19" s="504">
        <f>SUM('Össz_Összes kiadás'!C14)</f>
        <v>24540</v>
      </c>
      <c r="L19" s="506">
        <v>25276</v>
      </c>
    </row>
    <row r="20" spans="2:17" ht="15" customHeight="1">
      <c r="B20" s="55" t="s">
        <v>131</v>
      </c>
      <c r="C20" s="504">
        <f>15576-14630</f>
        <v>946</v>
      </c>
      <c r="D20" s="512">
        <f>62222-90</f>
        <v>62132</v>
      </c>
      <c r="E20" s="504">
        <f>SUM('Össz_Összes bevétel'!B20)</f>
        <v>45528</v>
      </c>
      <c r="F20" s="505">
        <v>46894</v>
      </c>
      <c r="H20" s="275" t="s">
        <v>254</v>
      </c>
      <c r="I20" s="504">
        <v>256468</v>
      </c>
      <c r="J20" s="504">
        <v>267671</v>
      </c>
      <c r="K20" s="504">
        <f>SUM('Össz_Összes kiadás'!C15)</f>
        <v>284541</v>
      </c>
      <c r="L20" s="506">
        <v>293077</v>
      </c>
      <c r="Q20" s="27"/>
    </row>
    <row r="21" spans="2:12" ht="15" customHeight="1">
      <c r="B21" s="168" t="s">
        <v>231</v>
      </c>
      <c r="C21" s="504"/>
      <c r="D21" s="504">
        <v>37418</v>
      </c>
      <c r="E21" s="504">
        <f>SUM('Össz_Összes bevétel'!B28)</f>
        <v>0</v>
      </c>
      <c r="F21" s="503">
        <v>0</v>
      </c>
      <c r="H21" s="275" t="s">
        <v>348</v>
      </c>
      <c r="I21" s="504">
        <f>15740-11576</f>
        <v>4164</v>
      </c>
      <c r="J21" s="512">
        <v>3119</v>
      </c>
      <c r="K21" s="504">
        <f>SUM('Össz_Összes kiadás'!C16)</f>
        <v>5328</v>
      </c>
      <c r="L21" s="506">
        <v>5488</v>
      </c>
    </row>
    <row r="22" spans="2:17" ht="15" customHeight="1">
      <c r="B22" s="274" t="s">
        <v>277</v>
      </c>
      <c r="C22" s="504">
        <v>-26152</v>
      </c>
      <c r="D22" s="504">
        <v>10108</v>
      </c>
      <c r="E22" s="504">
        <f>SUM('Össz_Összes bevétel'!B30)</f>
        <v>0</v>
      </c>
      <c r="F22" s="504">
        <v>0</v>
      </c>
      <c r="H22" s="275" t="s">
        <v>425</v>
      </c>
      <c r="I22" s="504">
        <v>6786</v>
      </c>
      <c r="J22" s="504">
        <v>3393</v>
      </c>
      <c r="K22" s="504">
        <f>SUM('Össz_Összes kiadás'!C17)</f>
        <v>0</v>
      </c>
      <c r="L22" s="506">
        <v>0</v>
      </c>
      <c r="Q22" s="27"/>
    </row>
    <row r="23" spans="2:12" ht="15" customHeight="1">
      <c r="B23" s="275"/>
      <c r="C23" s="506"/>
      <c r="D23" s="506"/>
      <c r="E23" s="506"/>
      <c r="F23" s="506"/>
      <c r="H23" s="275" t="s">
        <v>281</v>
      </c>
      <c r="I23" s="504"/>
      <c r="J23" s="504"/>
      <c r="K23" s="504">
        <f>SUM('Össz_Összes kiadás'!C26)</f>
        <v>0</v>
      </c>
      <c r="L23" s="506">
        <v>0</v>
      </c>
    </row>
    <row r="24" spans="2:12" ht="15" customHeight="1">
      <c r="B24" s="274"/>
      <c r="C24" s="504"/>
      <c r="D24" s="504"/>
      <c r="E24" s="504"/>
      <c r="F24" s="504"/>
      <c r="H24" s="274" t="s">
        <v>280</v>
      </c>
      <c r="I24" s="504">
        <v>2312</v>
      </c>
      <c r="J24" s="504">
        <v>60334</v>
      </c>
      <c r="K24" s="504">
        <f>SUM('Össz_Összes kiadás'!C27)</f>
        <v>0</v>
      </c>
      <c r="L24" s="504">
        <v>0</v>
      </c>
    </row>
    <row r="25" spans="2:12" ht="15" customHeight="1" thickBot="1">
      <c r="B25" s="706"/>
      <c r="C25" s="707"/>
      <c r="D25" s="707"/>
      <c r="E25" s="707"/>
      <c r="F25" s="707"/>
      <c r="H25" s="706" t="s">
        <v>740</v>
      </c>
      <c r="I25" s="707"/>
      <c r="J25" s="707"/>
      <c r="K25" s="707">
        <f>SUM('Össz_Összes kiadás'!C28)</f>
        <v>37418</v>
      </c>
      <c r="L25" s="707">
        <v>0</v>
      </c>
    </row>
    <row r="26" spans="2:17" ht="15" customHeight="1" thickBot="1">
      <c r="B26" s="252" t="s">
        <v>79</v>
      </c>
      <c r="C26" s="125">
        <f>SUM(C15:C24)</f>
        <v>983489</v>
      </c>
      <c r="D26" s="125">
        <f>SUM(D15:D24)</f>
        <v>1128177</v>
      </c>
      <c r="E26" s="125">
        <f>SUM(E15:E24)</f>
        <v>1183159</v>
      </c>
      <c r="F26" s="125">
        <f>SUM(F15:F24)</f>
        <v>1180113</v>
      </c>
      <c r="H26" s="252" t="s">
        <v>80</v>
      </c>
      <c r="I26" s="125">
        <f>SUM(I15:I24)</f>
        <v>924443</v>
      </c>
      <c r="J26" s="125">
        <f>SUM(J15:J24)</f>
        <v>1030714</v>
      </c>
      <c r="K26" s="125">
        <f>SUM(K15:K25)</f>
        <v>1183159</v>
      </c>
      <c r="L26" s="125">
        <f>SUM(L15:L25)</f>
        <v>1180113</v>
      </c>
      <c r="Q26" s="27"/>
    </row>
    <row r="27" spans="3:12" ht="15" customHeight="1" thickBot="1">
      <c r="C27" s="513"/>
      <c r="D27" s="513"/>
      <c r="E27" s="513"/>
      <c r="F27" s="513"/>
      <c r="I27" s="513"/>
      <c r="J27" s="513"/>
      <c r="K27" s="513"/>
      <c r="L27" s="513"/>
    </row>
    <row r="28" spans="2:12" ht="15" customHeight="1" thickBot="1">
      <c r="B28" s="115" t="s">
        <v>129</v>
      </c>
      <c r="C28" s="125">
        <f>+C12+C26</f>
        <v>1623362</v>
      </c>
      <c r="D28" s="125">
        <f>+D12+D26</f>
        <v>1246009</v>
      </c>
      <c r="E28" s="125">
        <f>+E12+E26</f>
        <v>1841791</v>
      </c>
      <c r="F28" s="125">
        <f>+F12+F26</f>
        <v>1858504</v>
      </c>
      <c r="H28" s="115" t="s">
        <v>130</v>
      </c>
      <c r="I28" s="125">
        <f>+I12+I26</f>
        <v>1589338</v>
      </c>
      <c r="J28" s="125">
        <f>+J12+J26</f>
        <v>1213339</v>
      </c>
      <c r="K28" s="125">
        <f>+K12+K26</f>
        <v>1841791</v>
      </c>
      <c r="L28" s="125">
        <f>+L12+L26</f>
        <v>1858504</v>
      </c>
    </row>
    <row r="29" ht="15" customHeight="1"/>
    <row r="30" spans="3:10" ht="15" customHeight="1">
      <c r="C30" s="27"/>
      <c r="D30" s="27"/>
      <c r="E30" s="27"/>
      <c r="J30" s="27"/>
    </row>
    <row r="31" spans="3:11" ht="15" customHeight="1">
      <c r="C31" s="27"/>
      <c r="D31" s="27"/>
      <c r="E31" s="27"/>
      <c r="I31" s="27"/>
      <c r="J31" s="27"/>
      <c r="K31" s="27"/>
    </row>
    <row r="32" spans="3:11" ht="15" customHeight="1">
      <c r="C32" s="27"/>
      <c r="D32" s="27"/>
      <c r="E32" s="27"/>
      <c r="G32" s="27"/>
      <c r="I32" s="27"/>
      <c r="J32" s="27"/>
      <c r="K32" s="27"/>
    </row>
    <row r="33" spans="3:12" ht="15" customHeight="1">
      <c r="C33" s="27"/>
      <c r="D33" s="27"/>
      <c r="E33" s="27"/>
      <c r="H33" s="27"/>
      <c r="I33" s="27"/>
      <c r="J33" s="27"/>
      <c r="K33" s="27"/>
      <c r="L33" s="413"/>
    </row>
    <row r="34" ht="15" customHeight="1"/>
    <row r="35" spans="3:5" ht="15" customHeight="1">
      <c r="C35" s="27"/>
      <c r="D35" s="27"/>
      <c r="E35" s="27"/>
    </row>
    <row r="36" spans="3:7" ht="15" customHeight="1">
      <c r="C36" s="27"/>
      <c r="D36" s="27"/>
      <c r="E36" s="27"/>
      <c r="G36" s="17"/>
    </row>
    <row r="37" ht="15" customHeight="1">
      <c r="N37" s="27"/>
    </row>
    <row r="38" ht="15" customHeight="1"/>
  </sheetData>
  <sheetProtection/>
  <mergeCells count="1">
    <mergeCell ref="E1:G1"/>
  </mergeCells>
  <printOptions horizontalCentered="1"/>
  <pageMargins left="0.3937007874015748" right="0.3937007874015748" top="1.02" bottom="0.6692913385826772" header="0.53" footer="0.5118110236220472"/>
  <pageSetup horizontalDpi="600" verticalDpi="600" orientation="landscape" paperSize="9" scale="65" r:id="rId1"/>
  <headerFooter alignWithMargins="0">
    <oddHeader>&amp;C&amp;"Arial CE,Félkövér"&amp;14 Ibrány Város Önkormányzata és költségvetési szervei 2013. évi felhalmozási és működési mérlege&amp;R14.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zoomScalePageLayoutView="0" workbookViewId="0" topLeftCell="C7">
      <selection activeCell="Q29" sqref="Q2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559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374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SUM('Össz_Összes bevétel'!B9)</f>
        <v>174883</v>
      </c>
      <c r="D8" s="524">
        <f>SUM('ÖNK_Ei.felhaszn.'!D8+'PH_Ei.felhaszn.'!D8+'GAM_Ei.felhaszn.'!D8+'ILMK_Ei.felhaszn.'!D8+'OVI_Ei.felhaszn.'!D8)</f>
        <v>14797</v>
      </c>
      <c r="E8" s="525">
        <f>SUM('ÖNK_Ei.felhaszn.'!E8+'PH_Ei.felhaszn.'!E8+'GAM_Ei.felhaszn.'!E8+'ILMK_Ei.felhaszn.'!E8+'OVI_Ei.felhaszn.'!E8)</f>
        <v>14798</v>
      </c>
      <c r="F8" s="525">
        <f>SUM('ÖNK_Ei.felhaszn.'!F8+'PH_Ei.felhaszn.'!F8+'GAM_Ei.felhaszn.'!F8+'ILMK_Ei.felhaszn.'!F8+'OVI_Ei.felhaszn.'!F8)</f>
        <v>14797</v>
      </c>
      <c r="G8" s="525">
        <f>SUM('ÖNK_Ei.felhaszn.'!G8+'PH_Ei.felhaszn.'!G8+'GAM_Ei.felhaszn.'!G8+'ILMK_Ei.felhaszn.'!G8+'OVI_Ei.felhaszn.'!G8)</f>
        <v>9722</v>
      </c>
      <c r="H8" s="525">
        <f>SUM('ÖNK_Ei.felhaszn.'!H8+'PH_Ei.felhaszn.'!H8+'GAM_Ei.felhaszn.'!H8+'ILMK_Ei.felhaszn.'!H8+'OVI_Ei.felhaszn.'!H8)</f>
        <v>9718</v>
      </c>
      <c r="I8" s="525">
        <f>SUM('ÖNK_Ei.felhaszn.'!I8+'PH_Ei.felhaszn.'!I8+'GAM_Ei.felhaszn.'!I8+'ILMK_Ei.felhaszn.'!I8+'OVI_Ei.felhaszn.'!I8)</f>
        <v>9722</v>
      </c>
      <c r="J8" s="525">
        <f>SUM('ÖNK_Ei.felhaszn.'!J8+'PH_Ei.felhaszn.'!J8+'GAM_Ei.felhaszn.'!J8+'ILMK_Ei.felhaszn.'!J8+'OVI_Ei.felhaszn.'!J8)</f>
        <v>12865</v>
      </c>
      <c r="K8" s="525">
        <f>SUM('ÖNK_Ei.felhaszn.'!K8+'PH_Ei.felhaszn.'!K8+'GAM_Ei.felhaszn.'!K8+'ILMK_Ei.felhaszn.'!K8+'OVI_Ei.felhaszn.'!K8)</f>
        <v>15941</v>
      </c>
      <c r="L8" s="525">
        <f>SUM('ÖNK_Ei.felhaszn.'!L8+'PH_Ei.felhaszn.'!L8+'GAM_Ei.felhaszn.'!L8+'ILMK_Ei.felhaszn.'!L8+'OVI_Ei.felhaszn.'!L8)</f>
        <v>15941</v>
      </c>
      <c r="M8" s="525">
        <v>18926</v>
      </c>
      <c r="N8" s="525">
        <v>18924</v>
      </c>
      <c r="O8" s="526">
        <f aca="true" t="shared" si="0" ref="O8:O15">+C8-D8-E8-F8-G8-H8-I8-J8-K8-L8-M8-N8</f>
        <v>18732</v>
      </c>
    </row>
    <row r="9" spans="2:15" s="429" customFormat="1" ht="12.75">
      <c r="B9" s="527" t="s">
        <v>89</v>
      </c>
      <c r="C9" s="512">
        <f>SUM('Össz_Összes bevétel'!B12)</f>
        <v>996748</v>
      </c>
      <c r="D9" s="528">
        <f>SUM('ÖNK_Ei.felhaszn.'!D9+'PH_Ei.felhaszn.'!D9+'GAM_Ei.felhaszn.'!D9+'ILMK_Ei.felhaszn.'!D9+'OVI_Ei.felhaszn.'!D9)</f>
        <v>51713</v>
      </c>
      <c r="E9" s="529">
        <f>SUM('ÖNK_Ei.felhaszn.'!E9+'PH_Ei.felhaszn.'!E9+'GAM_Ei.felhaszn.'!E9+'ILMK_Ei.felhaszn.'!E9+'OVI_Ei.felhaszn.'!E9)</f>
        <v>51712</v>
      </c>
      <c r="F9" s="529">
        <f>SUM('ÖNK_Ei.felhaszn.'!F9+'PH_Ei.felhaszn.'!F9+'GAM_Ei.felhaszn.'!F9+'ILMK_Ei.felhaszn.'!F9+'OVI_Ei.felhaszn.'!F9)</f>
        <v>51713</v>
      </c>
      <c r="G9" s="529">
        <f>SUM('ÖNK_Ei.felhaszn.'!G9+'PH_Ei.felhaszn.'!G9+'GAM_Ei.felhaszn.'!G9+'ILMK_Ei.felhaszn.'!G9+'OVI_Ei.felhaszn.'!G9)</f>
        <v>51629</v>
      </c>
      <c r="H9" s="529">
        <f>SUM('ÖNK_Ei.felhaszn.'!H9+'PH_Ei.felhaszn.'!H9+'GAM_Ei.felhaszn.'!H9+'ILMK_Ei.felhaszn.'!H9+'OVI_Ei.felhaszn.'!H9)</f>
        <v>51630</v>
      </c>
      <c r="I9" s="529">
        <f>SUM('ÖNK_Ei.felhaszn.'!I9+'PH_Ei.felhaszn.'!I9+'GAM_Ei.felhaszn.'!I9+'ILMK_Ei.felhaszn.'!I9+'OVI_Ei.felhaszn.'!I9)</f>
        <v>322584</v>
      </c>
      <c r="J9" s="529">
        <f>SUM('ÖNK_Ei.felhaszn.'!J9+'PH_Ei.felhaszn.'!J9+'GAM_Ei.felhaszn.'!J9+'ILMK_Ei.felhaszn.'!J9+'OVI_Ei.felhaszn.'!J9)</f>
        <v>47757</v>
      </c>
      <c r="K9" s="529">
        <f>SUM('ÖNK_Ei.felhaszn.'!K9+'PH_Ei.felhaszn.'!K9+'GAM_Ei.felhaszn.'!K9+'ILMK_Ei.felhaszn.'!K9+'OVI_Ei.felhaszn.'!K9)</f>
        <v>70951</v>
      </c>
      <c r="L9" s="529">
        <f>SUM('ÖNK_Ei.felhaszn.'!L9+'PH_Ei.felhaszn.'!L9+'GAM_Ei.felhaszn.'!L9+'ILMK_Ei.felhaszn.'!L9+'OVI_Ei.felhaszn.'!L9)</f>
        <v>70951</v>
      </c>
      <c r="M9" s="529">
        <f>SUM('ÖNK_Ei.felhaszn.'!M9+'PH_Ei.felhaszn.'!M9+'GAM_Ei.felhaszn.'!M9+'ILMK_Ei.felhaszn.'!M9+'OVI_Ei.felhaszn.'!M9)</f>
        <v>74135</v>
      </c>
      <c r="N9" s="529">
        <f>SUM('ÖNK_Ei.felhaszn.'!N9+'PH_Ei.felhaszn.'!N9+'GAM_Ei.felhaszn.'!N9+'ILMK_Ei.felhaszn.'!N9+'OVI_Ei.felhaszn.'!N9)</f>
        <v>74136</v>
      </c>
      <c r="O9" s="530">
        <f t="shared" si="0"/>
        <v>77837</v>
      </c>
    </row>
    <row r="10" spans="2:15" s="429" customFormat="1" ht="12.75">
      <c r="B10" s="527" t="s">
        <v>90</v>
      </c>
      <c r="C10" s="512">
        <f>SUM('Össz_Összes bevétel'!B14)</f>
        <v>17525</v>
      </c>
      <c r="D10" s="528">
        <f>SUM('ÖNK_Ei.felhaszn.'!D10+'PH_Ei.felhaszn.'!D10+'GAM_Ei.felhaszn.'!D10+'ILMK_Ei.felhaszn.'!D10+'OVI_Ei.felhaszn.'!D10)</f>
        <v>640</v>
      </c>
      <c r="E10" s="529">
        <f>SUM('ÖNK_Ei.felhaszn.'!E10+'PH_Ei.felhaszn.'!E10+'GAM_Ei.felhaszn.'!E10+'ILMK_Ei.felhaszn.'!E10+'OVI_Ei.felhaszn.'!E10)</f>
        <v>641</v>
      </c>
      <c r="F10" s="529">
        <f>SUM('ÖNK_Ei.felhaszn.'!F10+'PH_Ei.felhaszn.'!F10+'GAM_Ei.felhaszn.'!F10+'ILMK_Ei.felhaszn.'!F10+'OVI_Ei.felhaszn.'!F10)</f>
        <v>640</v>
      </c>
      <c r="G10" s="529">
        <f>SUM('ÖNK_Ei.felhaszn.'!G10+'PH_Ei.felhaszn.'!G10+'GAM_Ei.felhaszn.'!G10+'ILMK_Ei.felhaszn.'!G10+'OVI_Ei.felhaszn.'!G10)</f>
        <v>757</v>
      </c>
      <c r="H10" s="529">
        <f>SUM('ÖNK_Ei.felhaszn.'!H10+'PH_Ei.felhaszn.'!H10+'GAM_Ei.felhaszn.'!H10+'ILMK_Ei.felhaszn.'!H10+'OVI_Ei.felhaszn.'!H10)</f>
        <v>756</v>
      </c>
      <c r="I10" s="529">
        <f>SUM('ÖNK_Ei.felhaszn.'!I10+'PH_Ei.felhaszn.'!I10+'GAM_Ei.felhaszn.'!I10+'ILMK_Ei.felhaszn.'!I10+'OVI_Ei.felhaszn.'!I10)</f>
        <v>757</v>
      </c>
      <c r="J10" s="529">
        <f>SUM('ÖNK_Ei.felhaszn.'!J10+'PH_Ei.felhaszn.'!J10+'GAM_Ei.felhaszn.'!J10+'ILMK_Ei.felhaszn.'!J10+'OVI_Ei.felhaszn.'!J10)</f>
        <v>0</v>
      </c>
      <c r="K10" s="529">
        <f>SUM('ÖNK_Ei.felhaszn.'!K10+'PH_Ei.felhaszn.'!K10+'GAM_Ei.felhaszn.'!K10+'ILMK_Ei.felhaszn.'!K10+'OVI_Ei.felhaszn.'!K10)</f>
        <v>2667</v>
      </c>
      <c r="L10" s="529">
        <f>SUM('ÖNK_Ei.felhaszn.'!L10+'PH_Ei.felhaszn.'!L10+'GAM_Ei.felhaszn.'!L10+'ILMK_Ei.felhaszn.'!L10+'OVI_Ei.felhaszn.'!L10)</f>
        <v>2667</v>
      </c>
      <c r="M10" s="529">
        <f>SUM('ÖNK_Ei.felhaszn.'!M10+'PH_Ei.felhaszn.'!M10+'GAM_Ei.felhaszn.'!M10+'ILMK_Ei.felhaszn.'!M10+'OVI_Ei.felhaszn.'!M10)</f>
        <v>2667</v>
      </c>
      <c r="N10" s="529">
        <f>SUM('ÖNK_Ei.felhaszn.'!N10+'PH_Ei.felhaszn.'!N10+'GAM_Ei.felhaszn.'!N10+'ILMK_Ei.felhaszn.'!N10+'OVI_Ei.felhaszn.'!N10)</f>
        <v>2666</v>
      </c>
      <c r="O10" s="530">
        <f t="shared" si="0"/>
        <v>2667</v>
      </c>
    </row>
    <row r="11" spans="2:15" s="429" customFormat="1" ht="12.75">
      <c r="B11" s="527" t="s">
        <v>92</v>
      </c>
      <c r="C11" s="512">
        <f>SUM('Össz_Összes bevétel'!B15)</f>
        <v>151178</v>
      </c>
      <c r="D11" s="528">
        <f>SUM('ÖNK_Ei.felhaszn.'!D11+'PH_Ei.felhaszn.'!D11+'GAM_Ei.felhaszn.'!D11+'ILMK_Ei.felhaszn.'!D11+'OVI_Ei.felhaszn.'!D11)</f>
        <v>20471</v>
      </c>
      <c r="E11" s="529">
        <f>SUM('ÖNK_Ei.felhaszn.'!E11+'PH_Ei.felhaszn.'!E11+'GAM_Ei.felhaszn.'!E11+'ILMK_Ei.felhaszn.'!E11+'OVI_Ei.felhaszn.'!E11)</f>
        <v>20470</v>
      </c>
      <c r="F11" s="529">
        <f>SUM('ÖNK_Ei.felhaszn.'!F11+'PH_Ei.felhaszn.'!F11+'GAM_Ei.felhaszn.'!F11+'ILMK_Ei.felhaszn.'!F11+'OVI_Ei.felhaszn.'!F11)</f>
        <v>20471</v>
      </c>
      <c r="G11" s="529">
        <f>SUM('ÖNK_Ei.felhaszn.'!G11+'PH_Ei.felhaszn.'!G11+'GAM_Ei.felhaszn.'!G11+'ILMK_Ei.felhaszn.'!G11+'OVI_Ei.felhaszn.'!G11)</f>
        <v>5987</v>
      </c>
      <c r="H11" s="529">
        <f>SUM('ÖNK_Ei.felhaszn.'!H11+'PH_Ei.felhaszn.'!H11+'GAM_Ei.felhaszn.'!H11+'ILMK_Ei.felhaszn.'!H11+'OVI_Ei.felhaszn.'!H11)</f>
        <v>5985</v>
      </c>
      <c r="I11" s="529">
        <f>SUM('ÖNK_Ei.felhaszn.'!I11+'PH_Ei.felhaszn.'!I11+'GAM_Ei.felhaszn.'!I11+'ILMK_Ei.felhaszn.'!I11+'OVI_Ei.felhaszn.'!I11)</f>
        <v>6013</v>
      </c>
      <c r="J11" s="529">
        <f>SUM('ÖNK_Ei.felhaszn.'!J11+'PH_Ei.felhaszn.'!J11+'GAM_Ei.felhaszn.'!J11+'ILMK_Ei.felhaszn.'!J11+'OVI_Ei.felhaszn.'!J11)</f>
        <v>10839</v>
      </c>
      <c r="K11" s="529">
        <f>SUM('ÖNK_Ei.felhaszn.'!K11+'PH_Ei.felhaszn.'!K11+'GAM_Ei.felhaszn.'!K11+'ILMK_Ei.felhaszn.'!K11+'OVI_Ei.felhaszn.'!K11)</f>
        <v>10131</v>
      </c>
      <c r="L11" s="529">
        <v>10131</v>
      </c>
      <c r="M11" s="529">
        <f>SUM('ÖNK_Ei.felhaszn.'!M11+'PH_Ei.felhaszn.'!M11+'GAM_Ei.felhaszn.'!M11+'ILMK_Ei.felhaszn.'!M11+'OVI_Ei.felhaszn.'!M11)</f>
        <v>10265</v>
      </c>
      <c r="N11" s="529">
        <v>10264</v>
      </c>
      <c r="O11" s="530">
        <f t="shared" si="0"/>
        <v>20151</v>
      </c>
    </row>
    <row r="12" spans="2:15" s="429" customFormat="1" ht="12.75">
      <c r="B12" s="527" t="s">
        <v>95</v>
      </c>
      <c r="C12" s="512">
        <f>SUM('Össz_Összes bevétel'!B16)</f>
        <v>386465</v>
      </c>
      <c r="D12" s="528">
        <f>SUM('ÖNK_Ei.felhaszn.'!D12+'PH_Ei.felhaszn.'!D12+'GAM_Ei.felhaszn.'!D12+'ILMK_Ei.felhaszn.'!D12+'OVI_Ei.felhaszn.'!D12)</f>
        <v>8208</v>
      </c>
      <c r="E12" s="529">
        <f>SUM('ÖNK_Ei.felhaszn.'!E12+'PH_Ei.felhaszn.'!E12+'GAM_Ei.felhaszn.'!E12+'ILMK_Ei.felhaszn.'!E12+'OVI_Ei.felhaszn.'!E12)</f>
        <v>8158</v>
      </c>
      <c r="F12" s="529">
        <f>SUM('ÖNK_Ei.felhaszn.'!F12+'PH_Ei.felhaszn.'!F12+'GAM_Ei.felhaszn.'!F12+'ILMK_Ei.felhaszn.'!F12+'OVI_Ei.felhaszn.'!F12)</f>
        <v>8208</v>
      </c>
      <c r="G12" s="529">
        <f>SUM('ÖNK_Ei.felhaszn.'!G12+'PH_Ei.felhaszn.'!G12+'GAM_Ei.felhaszn.'!G12+'ILMK_Ei.felhaszn.'!G12+'OVI_Ei.felhaszn.'!G12)</f>
        <v>4181</v>
      </c>
      <c r="H12" s="529">
        <f>SUM('ÖNK_Ei.felhaszn.'!H12+'PH_Ei.felhaszn.'!H12+'GAM_Ei.felhaszn.'!H12+'ILMK_Ei.felhaszn.'!H12+'OVI_Ei.felhaszn.'!H12)</f>
        <v>5050</v>
      </c>
      <c r="I12" s="529">
        <f>SUM('ÖNK_Ei.felhaszn.'!I12+'PH_Ei.felhaszn.'!I12+'GAM_Ei.felhaszn.'!I12+'ILMK_Ei.felhaszn.'!I12+'OVI_Ei.felhaszn.'!I12)</f>
        <v>5290</v>
      </c>
      <c r="J12" s="529">
        <f>SUM('ÖNK_Ei.felhaszn.'!J12+'PH_Ei.felhaszn.'!J12+'GAM_Ei.felhaszn.'!J12+'ILMK_Ei.felhaszn.'!J12+'OVI_Ei.felhaszn.'!J12)</f>
        <v>-1</v>
      </c>
      <c r="K12" s="529">
        <f>SUM('ÖNK_Ei.felhaszn.'!K12+'PH_Ei.felhaszn.'!K12+'GAM_Ei.felhaszn.'!K12+'ILMK_Ei.felhaszn.'!K12+'OVI_Ei.felhaszn.'!K12)</f>
        <v>10151</v>
      </c>
      <c r="L12" s="529">
        <f>SUM('ÖNK_Ei.felhaszn.'!L12+'PH_Ei.felhaszn.'!L12+'GAM_Ei.felhaszn.'!L12+'ILMK_Ei.felhaszn.'!L12+'OVI_Ei.felhaszn.'!L12)</f>
        <v>10151</v>
      </c>
      <c r="M12" s="529">
        <f>SUM('ÖNK_Ei.felhaszn.'!M12+'PH_Ei.felhaszn.'!M12+'GAM_Ei.felhaszn.'!M12+'ILMK_Ei.felhaszn.'!M12+'OVI_Ei.felhaszn.'!M12)</f>
        <v>98324</v>
      </c>
      <c r="N12" s="529">
        <f>SUM('ÖNK_Ei.felhaszn.'!N12+'PH_Ei.felhaszn.'!N12+'GAM_Ei.felhaszn.'!N12+'ILMK_Ei.felhaszn.'!N12+'OVI_Ei.felhaszn.'!N12)</f>
        <v>98325</v>
      </c>
      <c r="O12" s="530">
        <f t="shared" si="0"/>
        <v>130420</v>
      </c>
    </row>
    <row r="13" spans="2:15" s="429" customFormat="1" ht="25.5">
      <c r="B13" s="531" t="s">
        <v>146</v>
      </c>
      <c r="C13" s="512">
        <f>SUM('Össz_Összes bevétel'!B18)</f>
        <v>45528</v>
      </c>
      <c r="D13" s="528">
        <f>SUM('ÖNK_Ei.felhaszn.'!D13+'PH_Ei.felhaszn.'!D13+'GAM_Ei.felhaszn.'!D13+'ILMK_Ei.felhaszn.'!D13+'OVI_Ei.felhaszn.'!D13)</f>
        <v>0</v>
      </c>
      <c r="E13" s="529">
        <f>SUM('ÖNK_Ei.felhaszn.'!E13+'PH_Ei.felhaszn.'!E13+'GAM_Ei.felhaszn.'!E13+'ILMK_Ei.felhaszn.'!E13+'OVI_Ei.felhaszn.'!E13)</f>
        <v>0</v>
      </c>
      <c r="F13" s="529">
        <f>SUM('ÖNK_Ei.felhaszn.'!F13+'PH_Ei.felhaszn.'!F13+'GAM_Ei.felhaszn.'!F13+'ILMK_Ei.felhaszn.'!F13+'OVI_Ei.felhaszn.'!F13)</f>
        <v>0</v>
      </c>
      <c r="G13" s="529">
        <f>SUM('ÖNK_Ei.felhaszn.'!G13+'PH_Ei.felhaszn.'!G13+'GAM_Ei.felhaszn.'!G13+'ILMK_Ei.felhaszn.'!G13+'OVI_Ei.felhaszn.'!G13)</f>
        <v>0</v>
      </c>
      <c r="H13" s="529">
        <f>SUM('ÖNK_Ei.felhaszn.'!H13+'PH_Ei.felhaszn.'!H13+'GAM_Ei.felhaszn.'!H13+'ILMK_Ei.felhaszn.'!H13+'OVI_Ei.felhaszn.'!H13)</f>
        <v>0</v>
      </c>
      <c r="I13" s="529">
        <f>SUM('ÖNK_Ei.felhaszn.'!I13+'PH_Ei.felhaszn.'!I13+'GAM_Ei.felhaszn.'!I13+'ILMK_Ei.felhaszn.'!I13+'OVI_Ei.felhaszn.'!I13)</f>
        <v>45528</v>
      </c>
      <c r="J13" s="529">
        <f>SUM('ÖNK_Ei.felhaszn.'!J13+'PH_Ei.felhaszn.'!J13+'GAM_Ei.felhaszn.'!J13+'ILMK_Ei.felhaszn.'!J13+'OVI_Ei.felhaszn.'!J13)</f>
        <v>0</v>
      </c>
      <c r="K13" s="529">
        <f>SUM('ÖNK_Ei.felhaszn.'!K13+'PH_Ei.felhaszn.'!K13+'GAM_Ei.felhaszn.'!K13+'ILMK_Ei.felhaszn.'!K13+'OVI_Ei.felhaszn.'!K13)</f>
        <v>0</v>
      </c>
      <c r="L13" s="529">
        <f>SUM('ÖNK_Ei.felhaszn.'!L13+'PH_Ei.felhaszn.'!L13+'GAM_Ei.felhaszn.'!L13+'ILMK_Ei.felhaszn.'!L13+'OVI_Ei.felhaszn.'!L13)</f>
        <v>0</v>
      </c>
      <c r="M13" s="529">
        <f>SUM('ÖNK_Ei.felhaszn.'!M13+'PH_Ei.felhaszn.'!M13+'GAM_Ei.felhaszn.'!M13+'ILMK_Ei.felhaszn.'!M13+'OVI_Ei.felhaszn.'!M13)</f>
        <v>0</v>
      </c>
      <c r="N13" s="529">
        <f>SUM('ÖNK_Ei.felhaszn.'!N13+'PH_Ei.felhaszn.'!N13+'GAM_Ei.felhaszn.'!N13+'ILMK_Ei.felhaszn.'!N13+'OVI_Ei.felhaszn.'!N13)</f>
        <v>0</v>
      </c>
      <c r="O13" s="530">
        <f t="shared" si="0"/>
        <v>0</v>
      </c>
    </row>
    <row r="14" spans="2:15" s="429" customFormat="1" ht="12.75">
      <c r="B14" s="527" t="s">
        <v>226</v>
      </c>
      <c r="C14" s="512">
        <f>SUM('Össz_Összes bevétel'!B23)</f>
        <v>69464</v>
      </c>
      <c r="D14" s="528">
        <f>SUM('ÖNK_Ei.felhaszn.'!D14)</f>
        <v>0</v>
      </c>
      <c r="E14" s="528">
        <f>SUM('ÖNK_Ei.felhaszn.'!E14)</f>
        <v>0</v>
      </c>
      <c r="F14" s="528">
        <f>SUM('ÖNK_Ei.felhaszn.'!F14)</f>
        <v>0</v>
      </c>
      <c r="G14" s="528">
        <f>SUM('ÖNK_Ei.felhaszn.'!G14)</f>
        <v>0</v>
      </c>
      <c r="H14" s="528">
        <f>SUM('ÖNK_Ei.felhaszn.'!H14)</f>
        <v>0</v>
      </c>
      <c r="I14" s="528">
        <f>SUM('ÖNK_Ei.felhaszn.'!I14)</f>
        <v>37418</v>
      </c>
      <c r="J14" s="528">
        <f>SUM('ÖNK_Ei.felhaszn.'!J14)</f>
        <v>0</v>
      </c>
      <c r="K14" s="528">
        <f>SUM('ÖNK_Ei.felhaszn.'!K14)</f>
        <v>0</v>
      </c>
      <c r="L14" s="528">
        <f>SUM('ÖNK_Ei.felhaszn.'!L14)</f>
        <v>0</v>
      </c>
      <c r="M14" s="528">
        <f>SUM('ÖNK_Ei.felhaszn.'!M14)</f>
        <v>0</v>
      </c>
      <c r="N14" s="528">
        <f>SUM('ÖNK_Ei.felhaszn.'!N14)</f>
        <v>0</v>
      </c>
      <c r="O14" s="530">
        <f t="shared" si="0"/>
        <v>32046</v>
      </c>
    </row>
    <row r="15" spans="2:15" s="429" customFormat="1" ht="13.5" thickBot="1">
      <c r="B15" s="527" t="s">
        <v>277</v>
      </c>
      <c r="C15" s="512">
        <f>SUM('Össz_Összes bevétel'!B30)</f>
        <v>0</v>
      </c>
      <c r="D15" s="528">
        <f>SUM('ÖNK_Ei.felhaszn.'!D15+'GAM_Ei.felhaszn.'!D14+'ILMK_Ei.felhaszn.'!D14+'OVI_Ei.felhaszn.'!D14)</f>
        <v>0</v>
      </c>
      <c r="E15" s="528">
        <f>SUM('ÖNK_Ei.felhaszn.'!E15+'GAM_Ei.felhaszn.'!E14+'ILMK_Ei.felhaszn.'!E14+'OVI_Ei.felhaszn.'!E14)</f>
        <v>0</v>
      </c>
      <c r="F15" s="528">
        <f>SUM('ÖNK_Ei.felhaszn.'!F15+'GAM_Ei.felhaszn.'!F14+'ILMK_Ei.felhaszn.'!F14+'OVI_Ei.felhaszn.'!F14)</f>
        <v>260</v>
      </c>
      <c r="G15" s="528">
        <f>SUM('ÖNK_Ei.felhaszn.'!G15+'GAM_Ei.felhaszn.'!G14+'ILMK_Ei.felhaszn.'!G14+'OVI_Ei.felhaszn.'!G14)</f>
        <v>0</v>
      </c>
      <c r="H15" s="528">
        <f>SUM('ÖNK_Ei.felhaszn.'!H15+'GAM_Ei.felhaszn.'!H14+'ILMK_Ei.felhaszn.'!H14+'OVI_Ei.felhaszn.'!H14)</f>
        <v>0</v>
      </c>
      <c r="I15" s="528">
        <f>SUM('ÖNK_Ei.felhaszn.'!I15+'GAM_Ei.felhaszn.'!I14+'ILMK_Ei.felhaszn.'!I14+'OVI_Ei.felhaszn.'!I14)</f>
        <v>30</v>
      </c>
      <c r="J15" s="528">
        <f>SUM('ÖNK_Ei.felhaszn.'!J15+'GAM_Ei.felhaszn.'!J14+'ILMK_Ei.felhaszn.'!J14+'OVI_Ei.felhaszn.'!J14)</f>
        <v>-11475</v>
      </c>
      <c r="K15" s="528">
        <f>SUM('ÖNK_Ei.felhaszn.'!K15+'GAM_Ei.felhaszn.'!K14+'ILMK_Ei.felhaszn.'!K14+'OVI_Ei.felhaszn.'!K14)</f>
        <v>0</v>
      </c>
      <c r="L15" s="528">
        <f>SUM('ÖNK_Ei.felhaszn.'!L15+'GAM_Ei.felhaszn.'!L14+'ILMK_Ei.felhaszn.'!L14+'OVI_Ei.felhaszn.'!L14)</f>
        <v>0</v>
      </c>
      <c r="M15" s="528">
        <f>SUM('ÖNK_Ei.felhaszn.'!M15+'GAM_Ei.felhaszn.'!M14+'ILMK_Ei.felhaszn.'!M14+'OVI_Ei.felhaszn.'!M14)</f>
        <v>3728</v>
      </c>
      <c r="N15" s="528">
        <f>SUM('ÖNK_Ei.felhaszn.'!N15+'GAM_Ei.felhaszn.'!N14+'ILMK_Ei.felhaszn.'!N14+'OVI_Ei.felhaszn.'!N14)</f>
        <v>3729</v>
      </c>
      <c r="O15" s="530">
        <f t="shared" si="0"/>
        <v>3728</v>
      </c>
    </row>
    <row r="16" spans="2:17" s="429" customFormat="1" ht="13.5" thickBot="1">
      <c r="B16" s="537" t="s">
        <v>147</v>
      </c>
      <c r="C16" s="538">
        <f aca="true" t="shared" si="1" ref="C16:O16">SUM(C8:C15)</f>
        <v>1841791</v>
      </c>
      <c r="D16" s="539">
        <f t="shared" si="1"/>
        <v>95829</v>
      </c>
      <c r="E16" s="539">
        <f t="shared" si="1"/>
        <v>95779</v>
      </c>
      <c r="F16" s="539">
        <f t="shared" si="1"/>
        <v>96089</v>
      </c>
      <c r="G16" s="539">
        <f t="shared" si="1"/>
        <v>72276</v>
      </c>
      <c r="H16" s="539">
        <f t="shared" si="1"/>
        <v>73139</v>
      </c>
      <c r="I16" s="539">
        <f t="shared" si="1"/>
        <v>427342</v>
      </c>
      <c r="J16" s="539">
        <f t="shared" si="1"/>
        <v>59985</v>
      </c>
      <c r="K16" s="539">
        <f t="shared" si="1"/>
        <v>109841</v>
      </c>
      <c r="L16" s="539">
        <f t="shared" si="1"/>
        <v>109841</v>
      </c>
      <c r="M16" s="539">
        <f t="shared" si="1"/>
        <v>208045</v>
      </c>
      <c r="N16" s="539">
        <f t="shared" si="1"/>
        <v>208044</v>
      </c>
      <c r="O16" s="539">
        <f t="shared" si="1"/>
        <v>285581</v>
      </c>
      <c r="Q16" s="430"/>
    </row>
    <row r="17" spans="2:15" ht="12.75">
      <c r="B17" s="571"/>
      <c r="C17" s="516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</row>
    <row r="18" spans="2:15" ht="12.75">
      <c r="B18" s="571"/>
      <c r="C18" s="513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</row>
    <row r="19" spans="2:15" ht="12.75">
      <c r="B19" s="571"/>
      <c r="C19" s="513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</row>
    <row r="20" spans="2:15" ht="13.5" thickBot="1">
      <c r="B20" s="571"/>
      <c r="C20" s="516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SUM('Össz_Összes kiadás'!C9)</f>
        <v>296033</v>
      </c>
      <c r="D22" s="543">
        <f>SUM('ÖNK_Ei.felhaszn.'!D22+'PH_Ei.felhaszn.'!D22+'GAM_Ei.felhaszn.'!D22+'ILMK_Ei.felhaszn.'!D22+'OVI_Ei.felhaszn.'!D22)</f>
        <v>17661</v>
      </c>
      <c r="E22" s="525">
        <f>SUM('ÖNK_Ei.felhaszn.'!E22+'PH_Ei.felhaszn.'!E22+'GAM_Ei.felhaszn.'!E22+'ILMK_Ei.felhaszn.'!E22+'OVI_Ei.felhaszn.'!E22)</f>
        <v>17662</v>
      </c>
      <c r="F22" s="525">
        <f>SUM('ÖNK_Ei.felhaszn.'!F22+'PH_Ei.felhaszn.'!F22+'GAM_Ei.felhaszn.'!F22+'ILMK_Ei.felhaszn.'!F22+'OVI_Ei.felhaszn.'!F22)</f>
        <v>17661</v>
      </c>
      <c r="G22" s="525">
        <f>SUM('ÖNK_Ei.felhaszn.'!G22+'PH_Ei.felhaszn.'!G22+'GAM_Ei.felhaszn.'!G22+'ILMK_Ei.felhaszn.'!G22+'OVI_Ei.felhaszn.'!G22)</f>
        <v>27297</v>
      </c>
      <c r="H22" s="525">
        <f>SUM('ÖNK_Ei.felhaszn.'!H22+'PH_Ei.felhaszn.'!H22+'GAM_Ei.felhaszn.'!H22+'ILMK_Ei.felhaszn.'!H22+'OVI_Ei.felhaszn.'!H22)</f>
        <v>27298</v>
      </c>
      <c r="I22" s="525">
        <f>SUM('ÖNK_Ei.felhaszn.'!I22+'PH_Ei.felhaszn.'!I22+'GAM_Ei.felhaszn.'!I22+'ILMK_Ei.felhaszn.'!I22+'OVI_Ei.felhaszn.'!I22)</f>
        <v>27297</v>
      </c>
      <c r="J22" s="525">
        <f>SUM('ÖNK_Ei.felhaszn.'!J22+'PH_Ei.felhaszn.'!J22+'GAM_Ei.felhaszn.'!J22+'ILMK_Ei.felhaszn.'!J22+'OVI_Ei.felhaszn.'!J22)</f>
        <v>12246</v>
      </c>
      <c r="K22" s="525">
        <f>SUM('ÖNK_Ei.felhaszn.'!K22+'PH_Ei.felhaszn.'!K22+'GAM_Ei.felhaszn.'!K22+'ILMK_Ei.felhaszn.'!K22+'OVI_Ei.felhaszn.'!K22)</f>
        <v>25494</v>
      </c>
      <c r="L22" s="525">
        <f>SUM('ÖNK_Ei.felhaszn.'!L22+'PH_Ei.felhaszn.'!L22+'GAM_Ei.felhaszn.'!L22+'ILMK_Ei.felhaszn.'!L22+'OVI_Ei.felhaszn.'!L22)</f>
        <v>25495</v>
      </c>
      <c r="M22" s="525">
        <v>30539</v>
      </c>
      <c r="N22" s="525">
        <v>30540</v>
      </c>
      <c r="O22" s="526">
        <f aca="true" t="shared" si="2" ref="O22:O32">+C22-D22-E22-F22-G22-H22-I22-J22-K22-L22-M22-N22</f>
        <v>36843</v>
      </c>
    </row>
    <row r="23" spans="2:15" s="429" customFormat="1" ht="12.75">
      <c r="B23" s="544" t="s">
        <v>113</v>
      </c>
      <c r="C23" s="512">
        <f>SUM('Össz_Összes kiadás'!C10)</f>
        <v>63701</v>
      </c>
      <c r="D23" s="545">
        <f>SUM('ÖNK_Ei.felhaszn.'!D23+'PH_Ei.felhaszn.'!D23+'GAM_Ei.felhaszn.'!D23+'ILMK_Ei.felhaszn.'!D23+'OVI_Ei.felhaszn.'!D23)</f>
        <v>3942</v>
      </c>
      <c r="E23" s="529">
        <f>SUM('ÖNK_Ei.felhaszn.'!E23+'PH_Ei.felhaszn.'!E23+'GAM_Ei.felhaszn.'!E23+'ILMK_Ei.felhaszn.'!E23+'OVI_Ei.felhaszn.'!E23)</f>
        <v>3942</v>
      </c>
      <c r="F23" s="529">
        <f>SUM('ÖNK_Ei.felhaszn.'!F23+'PH_Ei.felhaszn.'!F23+'GAM_Ei.felhaszn.'!F23+'ILMK_Ei.felhaszn.'!F23+'OVI_Ei.felhaszn.'!F23)</f>
        <v>3942</v>
      </c>
      <c r="G23" s="529">
        <f>SUM('ÖNK_Ei.felhaszn.'!G23+'PH_Ei.felhaszn.'!G23+'GAM_Ei.felhaszn.'!G23+'ILMK_Ei.felhaszn.'!G23+'OVI_Ei.felhaszn.'!G23)</f>
        <v>5473</v>
      </c>
      <c r="H23" s="529">
        <f>SUM('ÖNK_Ei.felhaszn.'!H23+'PH_Ei.felhaszn.'!H23+'GAM_Ei.felhaszn.'!H23+'ILMK_Ei.felhaszn.'!H23+'OVI_Ei.felhaszn.'!H23)</f>
        <v>5473</v>
      </c>
      <c r="I23" s="529">
        <f>SUM('ÖNK_Ei.felhaszn.'!I23+'PH_Ei.felhaszn.'!I23+'GAM_Ei.felhaszn.'!I23+'ILMK_Ei.felhaszn.'!I23+'OVI_Ei.felhaszn.'!I23)</f>
        <v>5473</v>
      </c>
      <c r="J23" s="529">
        <f>SUM('ÖNK_Ei.felhaszn.'!J23+'PH_Ei.felhaszn.'!J23+'GAM_Ei.felhaszn.'!J23+'ILMK_Ei.felhaszn.'!J23+'OVI_Ei.felhaszn.'!J23)</f>
        <v>1456</v>
      </c>
      <c r="K23" s="529">
        <f>SUM('ÖNK_Ei.felhaszn.'!K23+'PH_Ei.felhaszn.'!K23+'GAM_Ei.felhaszn.'!K23+'ILMK_Ei.felhaszn.'!K23+'OVI_Ei.felhaszn.'!K23)</f>
        <v>6410</v>
      </c>
      <c r="L23" s="529">
        <f>SUM('ÖNK_Ei.felhaszn.'!L23+'PH_Ei.felhaszn.'!L23+'GAM_Ei.felhaszn.'!L23+'ILMK_Ei.felhaszn.'!L23+'OVI_Ei.felhaszn.'!L23)</f>
        <v>6411</v>
      </c>
      <c r="M23" s="529">
        <v>6770</v>
      </c>
      <c r="N23" s="529">
        <v>6768</v>
      </c>
      <c r="O23" s="530">
        <f t="shared" si="2"/>
        <v>7641</v>
      </c>
    </row>
    <row r="24" spans="2:15" s="429" customFormat="1" ht="12.75">
      <c r="B24" s="544" t="s">
        <v>114</v>
      </c>
      <c r="C24" s="512">
        <f>SUM('Össz_Összes kiadás'!C11)</f>
        <v>369756</v>
      </c>
      <c r="D24" s="545">
        <f>SUM('ÖNK_Ei.felhaszn.'!D24+'PH_Ei.felhaszn.'!D24+'GAM_Ei.felhaszn.'!D24+'ILMK_Ei.felhaszn.'!D24+'OVI_Ei.felhaszn.'!D24)</f>
        <v>23816</v>
      </c>
      <c r="E24" s="529">
        <f>SUM('ÖNK_Ei.felhaszn.'!E24+'PH_Ei.felhaszn.'!E24+'GAM_Ei.felhaszn.'!E24+'ILMK_Ei.felhaszn.'!E24+'OVI_Ei.felhaszn.'!E24)</f>
        <v>23816</v>
      </c>
      <c r="F24" s="529">
        <f>SUM('ÖNK_Ei.felhaszn.'!F24+'PH_Ei.felhaszn.'!F24+'GAM_Ei.felhaszn.'!F24+'ILMK_Ei.felhaszn.'!F24+'OVI_Ei.felhaszn.'!F24)</f>
        <v>23816</v>
      </c>
      <c r="G24" s="529">
        <f>SUM('ÖNK_Ei.felhaszn.'!G24+'PH_Ei.felhaszn.'!G24+'GAM_Ei.felhaszn.'!G24+'ILMK_Ei.felhaszn.'!G24+'OVI_Ei.felhaszn.'!G24)</f>
        <v>29400</v>
      </c>
      <c r="H24" s="529">
        <f>SUM('ÖNK_Ei.felhaszn.'!H24+'PH_Ei.felhaszn.'!H24+'GAM_Ei.felhaszn.'!H24+'ILMK_Ei.felhaszn.'!H24+'OVI_Ei.felhaszn.'!H24)</f>
        <v>29401</v>
      </c>
      <c r="I24" s="529">
        <f>SUM('ÖNK_Ei.felhaszn.'!I24+'PH_Ei.felhaszn.'!I24+'GAM_Ei.felhaszn.'!I24+'ILMK_Ei.felhaszn.'!I24+'OVI_Ei.felhaszn.'!I24)</f>
        <v>29400</v>
      </c>
      <c r="J24" s="529">
        <f>SUM('ÖNK_Ei.felhaszn.'!J24+'PH_Ei.felhaszn.'!J24+'GAM_Ei.felhaszn.'!J24+'ILMK_Ei.felhaszn.'!J24+'OVI_Ei.felhaszn.'!J24)</f>
        <v>27975</v>
      </c>
      <c r="K24" s="529">
        <f>SUM('ÖNK_Ei.felhaszn.'!K24+'PH_Ei.felhaszn.'!K24+'GAM_Ei.felhaszn.'!K24+'ILMK_Ei.felhaszn.'!K24+'OVI_Ei.felhaszn.'!K24)</f>
        <v>35378</v>
      </c>
      <c r="L24" s="529">
        <f>SUM('ÖNK_Ei.felhaszn.'!L24+'PH_Ei.felhaszn.'!L24+'GAM_Ei.felhaszn.'!L24+'ILMK_Ei.felhaszn.'!L24+'OVI_Ei.felhaszn.'!L24)</f>
        <v>35526</v>
      </c>
      <c r="M24" s="529">
        <v>35432</v>
      </c>
      <c r="N24" s="529">
        <v>35430</v>
      </c>
      <c r="O24" s="530">
        <f t="shared" si="2"/>
        <v>40366</v>
      </c>
    </row>
    <row r="25" spans="2:15" s="429" customFormat="1" ht="12.75">
      <c r="B25" s="546" t="s">
        <v>115</v>
      </c>
      <c r="C25" s="512">
        <f>SUM('Össz_Összes kiadás'!C12)</f>
        <v>416251</v>
      </c>
      <c r="D25" s="545">
        <f>SUM('ÖNK_Ei.felhaszn.'!D25+'PH_Ei.felhaszn.'!D25+'GAM_Ei.felhaszn.'!D25+'ILMK_Ei.felhaszn.'!D25+'OVI_Ei.felhaszn.'!D25)</f>
        <v>26491</v>
      </c>
      <c r="E25" s="529">
        <f>SUM('ÖNK_Ei.felhaszn.'!E25+'PH_Ei.felhaszn.'!E25+'GAM_Ei.felhaszn.'!E25+'ILMK_Ei.felhaszn.'!E25+'OVI_Ei.felhaszn.'!E25)</f>
        <v>26491</v>
      </c>
      <c r="F25" s="529">
        <f>SUM('ÖNK_Ei.felhaszn.'!F25+'PH_Ei.felhaszn.'!F25+'GAM_Ei.felhaszn.'!F25+'ILMK_Ei.felhaszn.'!F25+'OVI_Ei.felhaszn.'!F25)</f>
        <v>26491</v>
      </c>
      <c r="G25" s="529">
        <f>SUM('ÖNK_Ei.felhaszn.'!G25+'PH_Ei.felhaszn.'!G25+'GAM_Ei.felhaszn.'!G25+'ILMK_Ei.felhaszn.'!G25+'OVI_Ei.felhaszn.'!G25)</f>
        <v>20625</v>
      </c>
      <c r="H25" s="529">
        <f>SUM('ÖNK_Ei.felhaszn.'!H25+'PH_Ei.felhaszn.'!H25+'GAM_Ei.felhaszn.'!H25+'ILMK_Ei.felhaszn.'!H25+'OVI_Ei.felhaszn.'!H25)</f>
        <v>20626</v>
      </c>
      <c r="I25" s="529">
        <f>SUM('ÖNK_Ei.felhaszn.'!I25+'PH_Ei.felhaszn.'!I25+'GAM_Ei.felhaszn.'!I25+'ILMK_Ei.felhaszn.'!I25+'OVI_Ei.felhaszn.'!I25)</f>
        <v>20625</v>
      </c>
      <c r="J25" s="529">
        <f>SUM('ÖNK_Ei.felhaszn.'!J25+'PH_Ei.felhaszn.'!J25+'GAM_Ei.felhaszn.'!J25+'ILMK_Ei.felhaszn.'!J25+'OVI_Ei.felhaszn.'!J25)</f>
        <v>34304</v>
      </c>
      <c r="K25" s="529">
        <f>SUM('ÖNK_Ei.felhaszn.'!K25+'PH_Ei.felhaszn.'!K25+'GAM_Ei.felhaszn.'!K25+'ILMK_Ei.felhaszn.'!K25+'OVI_Ei.felhaszn.'!K25)</f>
        <v>46818</v>
      </c>
      <c r="L25" s="529">
        <f>SUM('ÖNK_Ei.felhaszn.'!L25+'PH_Ei.felhaszn.'!L25+'GAM_Ei.felhaszn.'!L25+'ILMK_Ei.felhaszn.'!L25+'OVI_Ei.felhaszn.'!L25)</f>
        <v>46816</v>
      </c>
      <c r="M25" s="529">
        <v>44068</v>
      </c>
      <c r="N25" s="529">
        <v>44068</v>
      </c>
      <c r="O25" s="530">
        <f t="shared" si="2"/>
        <v>58828</v>
      </c>
    </row>
    <row r="26" spans="2:15" s="429" customFormat="1" ht="12.75">
      <c r="B26" s="544" t="s">
        <v>119</v>
      </c>
      <c r="C26" s="512">
        <f>SUM('Össz_Összes kiadás'!C19)</f>
        <v>331187</v>
      </c>
      <c r="D26" s="545">
        <f>SUM('ÖNK_Ei.felhaszn.'!D26+'PH_Ei.felhaszn.'!D26+'GAM_Ei.felhaszn.'!D26+'ILMK_Ei.felhaszn.'!D26+'OVI_Ei.felhaszn.'!D26)</f>
        <v>2255</v>
      </c>
      <c r="E26" s="529">
        <f>SUM('ÖNK_Ei.felhaszn.'!E26+'PH_Ei.felhaszn.'!E26+'GAM_Ei.felhaszn.'!E26+'ILMK_Ei.felhaszn.'!E26+'OVI_Ei.felhaszn.'!E26)</f>
        <v>2255</v>
      </c>
      <c r="F26" s="529">
        <f>SUM('ÖNK_Ei.felhaszn.'!F26+'PH_Ei.felhaszn.'!F26+'GAM_Ei.felhaszn.'!F26+'ILMK_Ei.felhaszn.'!F26+'OVI_Ei.felhaszn.'!F26)</f>
        <v>2255</v>
      </c>
      <c r="G26" s="529">
        <f>SUM('ÖNK_Ei.felhaszn.'!G26+'PH_Ei.felhaszn.'!G26+'GAM_Ei.felhaszn.'!G26+'ILMK_Ei.felhaszn.'!G26+'OVI_Ei.felhaszn.'!G26)</f>
        <v>2888</v>
      </c>
      <c r="H26" s="529">
        <f>SUM('ÖNK_Ei.felhaszn.'!H26+'PH_Ei.felhaszn.'!H26+'GAM_Ei.felhaszn.'!H26+'ILMK_Ei.felhaszn.'!H26+'OVI_Ei.felhaszn.'!H26)</f>
        <v>2887</v>
      </c>
      <c r="I26" s="529">
        <f>SUM('ÖNK_Ei.felhaszn.'!I26+'PH_Ei.felhaszn.'!I26+'GAM_Ei.felhaszn.'!I26+'ILMK_Ei.felhaszn.'!I26+'OVI_Ei.felhaszn.'!I26)</f>
        <v>2888</v>
      </c>
      <c r="J26" s="529">
        <f>SUM('ÖNK_Ei.felhaszn.'!J26+'PH_Ei.felhaszn.'!J26+'GAM_Ei.felhaszn.'!J26+'ILMK_Ei.felhaszn.'!J26+'OVI_Ei.felhaszn.'!J26)</f>
        <v>2881</v>
      </c>
      <c r="K26" s="529">
        <f>SUM('ÖNK_Ei.felhaszn.'!K26+'PH_Ei.felhaszn.'!K26+'GAM_Ei.felhaszn.'!K26+'ILMK_Ei.felhaszn.'!K26+'OVI_Ei.felhaszn.'!K26)</f>
        <v>12185</v>
      </c>
      <c r="L26" s="529">
        <f>SUM('ÖNK_Ei.felhaszn.'!L26+'PH_Ei.felhaszn.'!L26+'GAM_Ei.felhaszn.'!L26+'ILMK_Ei.felhaszn.'!L26+'OVI_Ei.felhaszn.'!L26)</f>
        <v>12185</v>
      </c>
      <c r="M26" s="529">
        <v>12185</v>
      </c>
      <c r="N26" s="529">
        <v>133842</v>
      </c>
      <c r="O26" s="530">
        <f t="shared" si="2"/>
        <v>142481</v>
      </c>
    </row>
    <row r="27" spans="2:15" s="429" customFormat="1" ht="12.75">
      <c r="B27" s="544" t="s">
        <v>120</v>
      </c>
      <c r="C27" s="512">
        <f>SUM('Össz_Összes kiadás'!C20)</f>
        <v>70797</v>
      </c>
      <c r="D27" s="545">
        <f>SUM('ÖNK_Ei.felhaszn.'!D27+'PH_Ei.felhaszn.'!D27+'GAM_Ei.felhaszn.'!D27+'ILMK_Ei.felhaszn.'!D27+'OVI_Ei.felhaszn.'!D27)</f>
        <v>1889</v>
      </c>
      <c r="E27" s="529">
        <f>SUM('ÖNK_Ei.felhaszn.'!E27+'PH_Ei.felhaszn.'!E27+'GAM_Ei.felhaszn.'!E27+'ILMK_Ei.felhaszn.'!E27+'OVI_Ei.felhaszn.'!E27)</f>
        <v>1889</v>
      </c>
      <c r="F27" s="529">
        <f>SUM('ÖNK_Ei.felhaszn.'!F27+'PH_Ei.felhaszn.'!F27+'GAM_Ei.felhaszn.'!F27+'ILMK_Ei.felhaszn.'!F27+'OVI_Ei.felhaszn.'!F27)</f>
        <v>1889</v>
      </c>
      <c r="G27" s="529">
        <f>SUM('ÖNK_Ei.felhaszn.'!G27+'PH_Ei.felhaszn.'!G27+'GAM_Ei.felhaszn.'!G27+'ILMK_Ei.felhaszn.'!G27+'OVI_Ei.felhaszn.'!G27)</f>
        <v>1760</v>
      </c>
      <c r="H27" s="529">
        <f>SUM('ÖNK_Ei.felhaszn.'!H27+'PH_Ei.felhaszn.'!H27+'GAM_Ei.felhaszn.'!H27+'ILMK_Ei.felhaszn.'!H27+'OVI_Ei.felhaszn.'!H27)</f>
        <v>1760</v>
      </c>
      <c r="I27" s="529">
        <f>SUM('ÖNK_Ei.felhaszn.'!I27+'PH_Ei.felhaszn.'!I27+'GAM_Ei.felhaszn.'!I27+'ILMK_Ei.felhaszn.'!I27+'OVI_Ei.felhaszn.'!I27)</f>
        <v>1760</v>
      </c>
      <c r="J27" s="529">
        <f>SUM('ÖNK_Ei.felhaszn.'!J27+'PH_Ei.felhaszn.'!J27+'GAM_Ei.felhaszn.'!J27+'ILMK_Ei.felhaszn.'!J27+'OVI_Ei.felhaszn.'!J27)</f>
        <v>0</v>
      </c>
      <c r="K27" s="529">
        <f>SUM('ÖNK_Ei.felhaszn.'!K27+'PH_Ei.felhaszn.'!K27+'GAM_Ei.felhaszn.'!K27+'ILMK_Ei.felhaszn.'!K27+'OVI_Ei.felhaszn.'!K27)</f>
        <v>11000</v>
      </c>
      <c r="L27" s="529">
        <f>SUM('ÖNK_Ei.felhaszn.'!L27+'PH_Ei.felhaszn.'!L27+'GAM_Ei.felhaszn.'!L27+'ILMK_Ei.felhaszn.'!L27+'OVI_Ei.felhaszn.'!L27)</f>
        <v>0</v>
      </c>
      <c r="M27" s="529">
        <v>0</v>
      </c>
      <c r="N27" s="529">
        <v>0</v>
      </c>
      <c r="O27" s="530">
        <f t="shared" si="2"/>
        <v>48850</v>
      </c>
    </row>
    <row r="28" spans="2:15" s="429" customFormat="1" ht="12.75">
      <c r="B28" s="544" t="s">
        <v>121</v>
      </c>
      <c r="C28" s="512">
        <f>SUM('Össz_Összes kiadás'!C21)</f>
        <v>25519</v>
      </c>
      <c r="D28" s="545">
        <f>SUM('ÖNK_Ei.felhaszn.'!D28+'PH_Ei.felhaszn.'!D28+'GAM_Ei.felhaszn.'!D28+'ILMK_Ei.felhaszn.'!D28+'OVI_Ei.felhaszn.'!D28)</f>
        <v>489</v>
      </c>
      <c r="E28" s="529">
        <f>SUM('ÖNK_Ei.felhaszn.'!E28+'PH_Ei.felhaszn.'!E28+'GAM_Ei.felhaszn.'!E28+'ILMK_Ei.felhaszn.'!E28+'OVI_Ei.felhaszn.'!E28)</f>
        <v>489</v>
      </c>
      <c r="F28" s="529">
        <f>SUM('ÖNK_Ei.felhaszn.'!F28+'PH_Ei.felhaszn.'!F28+'GAM_Ei.felhaszn.'!F28+'ILMK_Ei.felhaszn.'!F28+'OVI_Ei.felhaszn.'!F28)</f>
        <v>489</v>
      </c>
      <c r="G28" s="529">
        <f>SUM('ÖNK_Ei.felhaszn.'!G28+'PH_Ei.felhaszn.'!G28+'GAM_Ei.felhaszn.'!G28+'ILMK_Ei.felhaszn.'!G28+'OVI_Ei.felhaszn.'!G28)</f>
        <v>397</v>
      </c>
      <c r="H28" s="529">
        <f>SUM('ÖNK_Ei.felhaszn.'!H28+'PH_Ei.felhaszn.'!H28+'GAM_Ei.felhaszn.'!H28+'ILMK_Ei.felhaszn.'!H28+'OVI_Ei.felhaszn.'!H28)</f>
        <v>397</v>
      </c>
      <c r="I28" s="529">
        <f>SUM('ÖNK_Ei.felhaszn.'!I28+'PH_Ei.felhaszn.'!I28+'GAM_Ei.felhaszn.'!I28+'ILMK_Ei.felhaszn.'!I28+'OVI_Ei.felhaszn.'!I28)</f>
        <v>397</v>
      </c>
      <c r="J28" s="529">
        <f>SUM('ÖNK_Ei.felhaszn.'!J28+'PH_Ei.felhaszn.'!J28+'GAM_Ei.felhaszn.'!J28+'ILMK_Ei.felhaszn.'!J28+'OVI_Ei.felhaszn.'!J28)</f>
        <v>0</v>
      </c>
      <c r="K28" s="529">
        <f>SUM('ÖNK_Ei.felhaszn.'!K28+'PH_Ei.felhaszn.'!K28+'GAM_Ei.felhaszn.'!K28+'ILMK_Ei.felhaszn.'!K28+'OVI_Ei.felhaszn.'!K28)</f>
        <v>3493</v>
      </c>
      <c r="L28" s="529">
        <f>SUM('ÖNK_Ei.felhaszn.'!L28+'PH_Ei.felhaszn.'!L28+'GAM_Ei.felhaszn.'!L28+'ILMK_Ei.felhaszn.'!L28+'OVI_Ei.felhaszn.'!L28)</f>
        <v>3493</v>
      </c>
      <c r="M28" s="529">
        <v>3020</v>
      </c>
      <c r="N28" s="529">
        <f>SUM('ÖNK_Ei.felhaszn.'!N28+'PH_Ei.felhaszn.'!N28+'GAM_Ei.felhaszn.'!N28+'ILMK_Ei.felhaszn.'!N28+'OVI_Ei.felhaszn.'!N28)</f>
        <v>3020</v>
      </c>
      <c r="O28" s="530">
        <f t="shared" si="2"/>
        <v>9835</v>
      </c>
    </row>
    <row r="29" spans="2:15" s="429" customFormat="1" ht="12.75">
      <c r="B29" s="544" t="s">
        <v>279</v>
      </c>
      <c r="C29" s="512">
        <f>SUM('Össz_Összes kiadás'!C25)</f>
        <v>231129</v>
      </c>
      <c r="D29" s="545">
        <f>SUM('ÖNK_Ei.felhaszn.'!D29)</f>
        <v>0</v>
      </c>
      <c r="E29" s="529">
        <f>SUM('ÖNK_Ei.felhaszn.'!E29)</f>
        <v>0</v>
      </c>
      <c r="F29" s="529">
        <f>SUM('ÖNK_Ei.felhaszn.'!F29)</f>
        <v>6364</v>
      </c>
      <c r="G29" s="529">
        <f>SUM('ÖNK_Ei.felhaszn.'!G29)</f>
        <v>0</v>
      </c>
      <c r="H29" s="529">
        <f>SUM('ÖNK_Ei.felhaszn.'!H29)</f>
        <v>0</v>
      </c>
      <c r="I29" s="529">
        <f>SUM('ÖNK_Ei.felhaszn.'!I29)</f>
        <v>213176</v>
      </c>
      <c r="J29" s="529">
        <f>SUM('ÖNK_Ei.felhaszn.'!J29)</f>
        <v>1259</v>
      </c>
      <c r="K29" s="529">
        <f>SUM('ÖNK_Ei.felhaszn.'!K29)</f>
        <v>0</v>
      </c>
      <c r="L29" s="529">
        <f>SUM('ÖNK_Ei.felhaszn.'!L29)</f>
        <v>5165</v>
      </c>
      <c r="M29" s="529">
        <v>0</v>
      </c>
      <c r="N29" s="529">
        <f>SUM('ÖNK_Ei.felhaszn.'!N29)</f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SUM('Össz_Összes kiadás'!C26)</f>
        <v>0</v>
      </c>
      <c r="D30" s="545">
        <f>SUM('ÖNK_Ei.felhaszn.'!D30)</f>
        <v>0</v>
      </c>
      <c r="E30" s="529">
        <f>SUM('ÖNK_Ei.felhaszn.'!E30)</f>
        <v>0</v>
      </c>
      <c r="F30" s="529">
        <f>SUM('ÖNK_Ei.felhaszn.'!F30)</f>
        <v>0</v>
      </c>
      <c r="G30" s="529">
        <f>SUM('ÖNK_Ei.felhaszn.'!G30)</f>
        <v>0</v>
      </c>
      <c r="H30" s="529">
        <f>SUM('ÖNK_Ei.felhaszn.'!H30)</f>
        <v>0</v>
      </c>
      <c r="I30" s="529">
        <f>SUM('ÖNK_Ei.felhaszn.'!I30)</f>
        <v>0</v>
      </c>
      <c r="J30" s="529">
        <f>SUM('ÖNK_Ei.felhaszn.'!J30)</f>
        <v>0</v>
      </c>
      <c r="K30" s="529">
        <f>SUM('ÖNK_Ei.felhaszn.'!K30)</f>
        <v>0</v>
      </c>
      <c r="L30" s="529">
        <f>SUM('ÖNK_Ei.felhaszn.'!L30)</f>
        <v>0</v>
      </c>
      <c r="M30" s="529">
        <v>0</v>
      </c>
      <c r="N30" s="529">
        <f>SUM('ÖNK_Ei.felhaszn.'!N30)</f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SUM('Össz_Összes kiadás'!C27)</f>
        <v>0</v>
      </c>
      <c r="D31" s="545">
        <f>SUM('ÖNK_Ei.felhaszn.'!D31+'PH_Ei.felhaszn.'!D29+'GAM_Ei.felhaszn.'!D29+'ILMK_Ei.felhaszn.'!D29+'OVI_Ei.felhaszn.'!D29)</f>
        <v>0</v>
      </c>
      <c r="E31" s="529">
        <f>SUM('ÖNK_Ei.felhaszn.'!E31+'PH_Ei.felhaszn.'!E29+'GAM_Ei.felhaszn.'!E29+'ILMK_Ei.felhaszn.'!E29+'OVI_Ei.felhaszn.'!E29)</f>
        <v>0</v>
      </c>
      <c r="F31" s="529">
        <v>-15365</v>
      </c>
      <c r="G31" s="529">
        <f>SUM('ÖNK_Ei.felhaszn.'!G31+'PH_Ei.felhaszn.'!G29+'GAM_Ei.felhaszn.'!G29+'ILMK_Ei.felhaszn.'!G29+'OVI_Ei.felhaszn.'!G29)</f>
        <v>0</v>
      </c>
      <c r="H31" s="529">
        <f>SUM('ÖNK_Ei.felhaszn.'!H31+'PH_Ei.felhaszn.'!H29+'GAM_Ei.felhaszn.'!H29+'ILMK_Ei.felhaszn.'!H29+'OVI_Ei.felhaszn.'!H29)</f>
        <v>0</v>
      </c>
      <c r="I31" s="529">
        <v>-10870</v>
      </c>
      <c r="J31" s="529">
        <v>17509</v>
      </c>
      <c r="K31" s="529">
        <f>SUM('ÖNK_Ei.felhaszn.'!K31+'PH_Ei.felhaszn.'!K29+'GAM_Ei.felhaszn.'!K29+'ILMK_Ei.felhaszn.'!K29+'OVI_Ei.felhaszn.'!K29)</f>
        <v>0</v>
      </c>
      <c r="L31" s="529">
        <f>SUM('ÖNK_Ei.felhaszn.'!L31+'PH_Ei.felhaszn.'!L29+'GAM_Ei.felhaszn.'!L29+'ILMK_Ei.felhaszn.'!L29+'OVI_Ei.felhaszn.'!L29)</f>
        <v>0</v>
      </c>
      <c r="M31" s="529">
        <v>2837</v>
      </c>
      <c r="N31" s="529">
        <v>2839</v>
      </c>
      <c r="O31" s="530">
        <f t="shared" si="2"/>
        <v>3050</v>
      </c>
    </row>
    <row r="32" spans="2:15" s="429" customFormat="1" ht="13.5" thickBot="1">
      <c r="B32" s="708" t="s">
        <v>742</v>
      </c>
      <c r="C32" s="709">
        <f>SUM('Össz_Összes kiadás'!C28)</f>
        <v>37418</v>
      </c>
      <c r="D32" s="710">
        <f>SUM('ÖNK_Ei.felhaszn.'!D32)</f>
        <v>18099</v>
      </c>
      <c r="E32" s="711">
        <f>SUM('ÖNK_Ei.felhaszn.'!E32)</f>
        <v>18047</v>
      </c>
      <c r="F32" s="711">
        <f>SUM('ÖNK_Ei.felhaszn.'!F32)</f>
        <v>1272</v>
      </c>
      <c r="G32" s="711">
        <f>SUM('ÖNK_Ei.felhaszn.'!G32)</f>
        <v>0</v>
      </c>
      <c r="H32" s="711">
        <f>SUM('ÖNK_Ei.felhaszn.'!H32)</f>
        <v>0</v>
      </c>
      <c r="I32" s="711">
        <f>SUM('ÖNK_Ei.felhaszn.'!I32)</f>
        <v>37418</v>
      </c>
      <c r="J32" s="711">
        <f>SUM('ÖNK_Ei.felhaszn.'!J32)</f>
        <v>0</v>
      </c>
      <c r="K32" s="711">
        <f>SUM('ÖNK_Ei.felhaszn.'!K32)</f>
        <v>0</v>
      </c>
      <c r="L32" s="711">
        <f>SUM('ÖNK_Ei.felhaszn.'!L32)</f>
        <v>0</v>
      </c>
      <c r="M32" s="711">
        <f>SUM('ÖNK_Ei.felhaszn.'!M32)</f>
        <v>0</v>
      </c>
      <c r="N32" s="711">
        <f>SUM('ÖNK_Ei.felhaszn.'!N32)</f>
        <v>0</v>
      </c>
      <c r="O32" s="712">
        <f t="shared" si="2"/>
        <v>-37418</v>
      </c>
    </row>
    <row r="33" spans="2:17" s="429" customFormat="1" ht="13.5" thickBot="1">
      <c r="B33" s="537" t="s">
        <v>148</v>
      </c>
      <c r="C33" s="538">
        <f>SUM(C22:C32)</f>
        <v>1841791</v>
      </c>
      <c r="D33" s="539">
        <f aca="true" t="shared" si="3" ref="D33:O33">SUM(D22:D32)</f>
        <v>94642</v>
      </c>
      <c r="E33" s="539">
        <f t="shared" si="3"/>
        <v>94591</v>
      </c>
      <c r="F33" s="539">
        <f t="shared" si="3"/>
        <v>68814</v>
      </c>
      <c r="G33" s="539">
        <f t="shared" si="3"/>
        <v>87840</v>
      </c>
      <c r="H33" s="539">
        <f t="shared" si="3"/>
        <v>87842</v>
      </c>
      <c r="I33" s="539">
        <f t="shared" si="3"/>
        <v>327564</v>
      </c>
      <c r="J33" s="539">
        <f t="shared" si="3"/>
        <v>97630</v>
      </c>
      <c r="K33" s="539">
        <f t="shared" si="3"/>
        <v>140778</v>
      </c>
      <c r="L33" s="539">
        <f t="shared" si="3"/>
        <v>135091</v>
      </c>
      <c r="M33" s="539">
        <f t="shared" si="3"/>
        <v>134851</v>
      </c>
      <c r="N33" s="539">
        <f t="shared" si="3"/>
        <v>256507</v>
      </c>
      <c r="O33" s="539">
        <f t="shared" si="3"/>
        <v>315641</v>
      </c>
      <c r="Q33" s="430"/>
    </row>
    <row r="34" spans="2:15" ht="12.75">
      <c r="B34" s="571"/>
      <c r="C34" s="516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</row>
    <row r="35" ht="12.75">
      <c r="C35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9"/>
  <sheetViews>
    <sheetView zoomScalePageLayoutView="0" workbookViewId="0" topLeftCell="D1">
      <selection activeCell="Q9" sqref="Q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560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375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f>SUM('ÖNK_Likviditási '!D8+PH_Likviditási!D8+GAM_Likviditási!D8+ILMK_Likviditási!D8+OVI_Likviditási!D8)</f>
        <v>61733</v>
      </c>
      <c r="E8" s="550">
        <f aca="true" t="shared" si="0" ref="E8:O8">SUM(D28)</f>
        <v>62920</v>
      </c>
      <c r="F8" s="551">
        <f t="shared" si="0"/>
        <v>64108</v>
      </c>
      <c r="G8" s="551">
        <f t="shared" si="0"/>
        <v>91383</v>
      </c>
      <c r="H8" s="551">
        <f t="shared" si="0"/>
        <v>75819</v>
      </c>
      <c r="I8" s="551">
        <f t="shared" si="0"/>
        <v>61116</v>
      </c>
      <c r="J8" s="551">
        <f t="shared" si="0"/>
        <v>115366</v>
      </c>
      <c r="K8" s="551">
        <f t="shared" si="0"/>
        <v>61548</v>
      </c>
      <c r="L8" s="551">
        <f t="shared" si="0"/>
        <v>57294</v>
      </c>
      <c r="M8" s="551">
        <f t="shared" si="0"/>
        <v>88301</v>
      </c>
      <c r="N8" s="551">
        <f t="shared" si="0"/>
        <v>49290</v>
      </c>
      <c r="O8" s="552">
        <f t="shared" si="0"/>
        <v>107509</v>
      </c>
      <c r="P8" s="714"/>
    </row>
    <row r="9" spans="2:16" s="429" customFormat="1" ht="12.75">
      <c r="B9" s="522" t="s">
        <v>81</v>
      </c>
      <c r="C9" s="554"/>
      <c r="D9" s="524">
        <f>SUM('ÖNK_Likviditási '!D9+PH_Likviditási!D9+GAM_Likviditási!D9+ILMK_Likviditási!D9+OVI_Likviditási!D9)</f>
        <v>14797</v>
      </c>
      <c r="E9" s="524">
        <f>SUM('ÖNK_Likviditási '!E9+PH_Likviditási!E9+GAM_Likviditási!E9+ILMK_Likviditási!E9+OVI_Likviditási!E9)</f>
        <v>14798</v>
      </c>
      <c r="F9" s="524">
        <f>SUM('ÖNK_Likviditási '!F9+PH_Likviditási!F9+GAM_Likviditási!F9+ILMK_Likviditási!F9+OVI_Likviditási!F9)</f>
        <v>14797</v>
      </c>
      <c r="G9" s="524">
        <f>SUM('ÖNK_Likviditási '!G9+PH_Likviditási!G9+GAM_Likviditási!G9+ILMK_Likviditási!G9+OVI_Likviditási!G9)</f>
        <v>9722</v>
      </c>
      <c r="H9" s="524">
        <f>SUM('ÖNK_Likviditási '!H9+PH_Likviditási!H9+GAM_Likviditási!H9+ILMK_Likviditási!H9+OVI_Likviditási!H9)</f>
        <v>9718</v>
      </c>
      <c r="I9" s="524">
        <f>SUM('ÖNK_Likviditási '!I9+PH_Likviditási!I9+GAM_Likviditási!I9+ILMK_Likviditási!I9+OVI_Likviditási!I9)</f>
        <v>9722</v>
      </c>
      <c r="J9" s="524">
        <f>SUM('ÖNK_Likviditási '!J9+PH_Likviditási!J9+GAM_Likviditási!J9+ILMK_Likviditási!J9+OVI_Likviditási!J9)</f>
        <v>12865</v>
      </c>
      <c r="K9" s="524">
        <f>SUM('ÖNK_Likviditási '!K9+PH_Likviditási!K9+GAM_Likviditási!K9+ILMK_Likviditási!K9+OVI_Likviditási!K9)</f>
        <v>14700</v>
      </c>
      <c r="L9" s="524">
        <f>SUM('ÖNK_Likviditási '!L9+PH_Likviditási!L9+GAM_Likviditási!L9+ILMK_Likviditási!L9+OVI_Likviditási!L9)</f>
        <v>36604</v>
      </c>
      <c r="M9" s="524">
        <v>12479</v>
      </c>
      <c r="N9" s="524">
        <v>19349</v>
      </c>
      <c r="O9" s="524">
        <v>6162</v>
      </c>
      <c r="P9" s="715">
        <f>SUM(D9:O9)</f>
        <v>175713</v>
      </c>
    </row>
    <row r="10" spans="2:16" s="429" customFormat="1" ht="12.75">
      <c r="B10" s="527" t="s">
        <v>89</v>
      </c>
      <c r="C10" s="555"/>
      <c r="D10" s="528">
        <f>SUM('ÖNK_Likviditási '!D10+PH_Likviditási!D10+GAM_Likviditási!D10+ILMK_Likviditási!D10+OVI_Likviditási!D10)</f>
        <v>51713</v>
      </c>
      <c r="E10" s="528">
        <f>SUM('ÖNK_Likviditási '!E10+PH_Likviditási!E10+GAM_Likviditási!E10+ILMK_Likviditási!E10+OVI_Likviditási!E10)</f>
        <v>51712</v>
      </c>
      <c r="F10" s="528">
        <f>SUM('ÖNK_Likviditási '!F10+PH_Likviditási!F10+GAM_Likviditási!F10+ILMK_Likviditási!F10+OVI_Likviditási!F10)</f>
        <v>51713</v>
      </c>
      <c r="G10" s="528">
        <f>SUM('ÖNK_Likviditási '!G10+PH_Likviditási!G10+GAM_Likviditási!G10+ILMK_Likviditási!G10+OVI_Likviditási!G10)</f>
        <v>51629</v>
      </c>
      <c r="H10" s="528">
        <f>SUM('ÖNK_Likviditási '!H10+PH_Likviditási!H10+GAM_Likviditási!H10+ILMK_Likviditási!H10+OVI_Likviditási!H10)</f>
        <v>51630</v>
      </c>
      <c r="I10" s="528">
        <f>SUM('ÖNK_Likviditási '!I10+PH_Likviditási!I10+GAM_Likviditási!I10+ILMK_Likviditási!I10+OVI_Likviditási!I10)</f>
        <v>322584</v>
      </c>
      <c r="J10" s="528">
        <f>SUM('ÖNK_Likviditási '!J10+PH_Likviditási!J10+GAM_Likviditási!J10+ILMK_Likviditási!J10+OVI_Likviditási!J10)</f>
        <v>47757</v>
      </c>
      <c r="K10" s="528">
        <f>SUM('ÖNK_Likviditási '!K10+PH_Likviditási!K10+GAM_Likviditási!K10+ILMK_Likviditási!K10+OVI_Likviditási!K10)</f>
        <v>48280</v>
      </c>
      <c r="L10" s="528">
        <f>SUM('ÖNK_Likviditási '!L10+PH_Likviditási!L10+GAM_Likviditási!L10+ILMK_Likviditási!L10+OVI_Likviditási!L10)</f>
        <v>46781</v>
      </c>
      <c r="M10" s="528">
        <v>41269</v>
      </c>
      <c r="N10" s="528">
        <v>51034</v>
      </c>
      <c r="O10" s="530">
        <v>180646</v>
      </c>
      <c r="P10" s="716">
        <f aca="true" t="shared" si="1" ref="P10:P15">SUM(D10:O10)</f>
        <v>996748</v>
      </c>
    </row>
    <row r="11" spans="2:16" s="429" customFormat="1" ht="12.75">
      <c r="B11" s="527" t="s">
        <v>90</v>
      </c>
      <c r="C11" s="555"/>
      <c r="D11" s="528">
        <f>SUM('ÖNK_Likviditási '!D11+PH_Likviditási!D11+GAM_Likviditási!D11+ILMK_Likviditási!D11+OVI_Likviditási!D11)</f>
        <v>640</v>
      </c>
      <c r="E11" s="528">
        <f>SUM('ÖNK_Likviditási '!E11+PH_Likviditási!E11+GAM_Likviditási!E11+ILMK_Likviditási!E11+OVI_Likviditási!E11)</f>
        <v>641</v>
      </c>
      <c r="F11" s="528">
        <f>SUM('ÖNK_Likviditási '!F11+PH_Likviditási!F11+GAM_Likviditási!F11+ILMK_Likviditási!F11+OVI_Likviditási!F11)</f>
        <v>640</v>
      </c>
      <c r="G11" s="528">
        <f>SUM('ÖNK_Likviditási '!G11+PH_Likviditási!G11+GAM_Likviditási!G11+ILMK_Likviditási!G11+OVI_Likviditási!G11)</f>
        <v>757</v>
      </c>
      <c r="H11" s="528">
        <f>SUM('ÖNK_Likviditási '!H11+PH_Likviditási!H11+GAM_Likviditási!H11+ILMK_Likviditási!H11+OVI_Likviditási!H11)</f>
        <v>756</v>
      </c>
      <c r="I11" s="528">
        <f>SUM('ÖNK_Likviditási '!I11+PH_Likviditási!I11+GAM_Likviditási!I11+ILMK_Likviditási!I11+OVI_Likviditási!I11)</f>
        <v>757</v>
      </c>
      <c r="J11" s="528">
        <f>SUM('ÖNK_Likviditási '!J11+PH_Likviditási!J11+GAM_Likviditási!J11+ILMK_Likviditási!J11+OVI_Likviditási!J11)</f>
        <v>0</v>
      </c>
      <c r="K11" s="528">
        <f>SUM('ÖNK_Likviditási '!K11+PH_Likviditási!K11+GAM_Likviditási!K11+ILMK_Likviditási!K11+OVI_Likviditási!K11)</f>
        <v>0</v>
      </c>
      <c r="L11" s="528">
        <f>SUM('ÖNK_Likviditási '!L11+PH_Likviditási!L11+GAM_Likviditási!L11+ILMK_Likviditási!L11+OVI_Likviditási!L11)</f>
        <v>577</v>
      </c>
      <c r="M11" s="528">
        <v>1</v>
      </c>
      <c r="N11" s="528">
        <v>0</v>
      </c>
      <c r="O11" s="530">
        <v>12756</v>
      </c>
      <c r="P11" s="716">
        <f t="shared" si="1"/>
        <v>17525</v>
      </c>
    </row>
    <row r="12" spans="2:16" s="429" customFormat="1" ht="12.75">
      <c r="B12" s="527" t="s">
        <v>92</v>
      </c>
      <c r="C12" s="555"/>
      <c r="D12" s="528">
        <f>SUM('ÖNK_Likviditási '!D12+PH_Likviditási!D12+GAM_Likviditási!D12+ILMK_Likviditási!D12+OVI_Likviditási!D12)</f>
        <v>20471</v>
      </c>
      <c r="E12" s="528">
        <f>SUM('ÖNK_Likviditási '!E12+PH_Likviditási!E12+GAM_Likviditási!E12+ILMK_Likviditási!E12+OVI_Likviditási!E12)</f>
        <v>20470</v>
      </c>
      <c r="F12" s="528">
        <f>SUM('ÖNK_Likviditási '!F12+PH_Likviditási!F12+GAM_Likviditási!F12+ILMK_Likviditási!F12+OVI_Likviditási!F12)</f>
        <v>20471</v>
      </c>
      <c r="G12" s="528">
        <f>SUM('ÖNK_Likviditási '!G12+PH_Likviditási!G12+GAM_Likviditási!G12+ILMK_Likviditási!G12+OVI_Likviditási!G12)</f>
        <v>5987</v>
      </c>
      <c r="H12" s="528">
        <f>SUM('ÖNK_Likviditási '!H12+PH_Likviditási!H12+GAM_Likviditási!H12+ILMK_Likviditási!H12+OVI_Likviditási!H12)</f>
        <v>5985</v>
      </c>
      <c r="I12" s="528">
        <f>SUM('ÖNK_Likviditási '!I12+PH_Likviditási!I12+GAM_Likviditási!I12+ILMK_Likviditási!I12+OVI_Likviditási!I12)</f>
        <v>6013</v>
      </c>
      <c r="J12" s="528">
        <f>SUM('ÖNK_Likviditási '!J12+PH_Likviditási!J12+GAM_Likviditási!J12+ILMK_Likviditási!J12+OVI_Likviditási!J12)</f>
        <v>10839</v>
      </c>
      <c r="K12" s="528">
        <f>SUM('ÖNK_Likviditási '!K12+PH_Likviditási!K12+GAM_Likviditási!K12+ILMK_Likviditási!K12+OVI_Likviditási!K12)</f>
        <v>22463</v>
      </c>
      <c r="L12" s="528">
        <f>SUM('ÖNK_Likviditási '!L12+PH_Likviditási!L12+GAM_Likviditási!L12+ILMK_Likviditási!L12+OVI_Likviditási!L12)</f>
        <v>15035</v>
      </c>
      <c r="M12" s="528">
        <v>13946</v>
      </c>
      <c r="N12" s="528">
        <v>19658</v>
      </c>
      <c r="O12" s="530">
        <v>18582</v>
      </c>
      <c r="P12" s="716">
        <f t="shared" si="1"/>
        <v>179920</v>
      </c>
    </row>
    <row r="13" spans="2:16" s="429" customFormat="1" ht="12.75">
      <c r="B13" s="527" t="s">
        <v>95</v>
      </c>
      <c r="C13" s="555"/>
      <c r="D13" s="528">
        <f>SUM('ÖNK_Likviditási '!D13+PH_Likviditási!D13+GAM_Likviditási!D13+ILMK_Likviditási!D13+OVI_Likviditási!D13)</f>
        <v>8208</v>
      </c>
      <c r="E13" s="528">
        <f>SUM('ÖNK_Likviditási '!E13+PH_Likviditási!E13+GAM_Likviditási!E13+ILMK_Likviditási!E13+OVI_Likviditási!E13)</f>
        <v>8158</v>
      </c>
      <c r="F13" s="528">
        <f>SUM('ÖNK_Likviditási '!F13+PH_Likviditási!F13+GAM_Likviditási!F13+ILMK_Likviditási!F13+OVI_Likviditási!F13)</f>
        <v>8208</v>
      </c>
      <c r="G13" s="528">
        <f>SUM('ÖNK_Likviditási '!G13+PH_Likviditási!G13+GAM_Likviditási!G13+ILMK_Likviditási!G13+OVI_Likviditási!G13)</f>
        <v>4181</v>
      </c>
      <c r="H13" s="528">
        <f>SUM('ÖNK_Likviditási '!H13+PH_Likviditási!H13+GAM_Likviditási!H13+ILMK_Likviditási!H13+OVI_Likviditási!H13)</f>
        <v>5050</v>
      </c>
      <c r="I13" s="528">
        <f>SUM('ÖNK_Likviditási '!I13+PH_Likviditási!I13+GAM_Likviditási!I13+ILMK_Likviditási!I13+OVI_Likviditási!I13)</f>
        <v>5290</v>
      </c>
      <c r="J13" s="528">
        <f>SUM('ÖNK_Likviditási '!J13+PH_Likviditási!J13+GAM_Likviditási!J13+ILMK_Likviditási!J13+OVI_Likviditási!J13)</f>
        <v>-1</v>
      </c>
      <c r="K13" s="528">
        <f>SUM('ÖNK_Likviditási '!K13+PH_Likviditási!K13+GAM_Likviditási!K13+ILMK_Likviditási!K13+OVI_Likviditási!K13)</f>
        <v>311</v>
      </c>
      <c r="L13" s="528">
        <f>SUM('ÖNK_Likviditási '!L13+PH_Likviditási!L13+GAM_Likviditási!L13+ILMK_Likviditási!L13+OVI_Likviditási!L13)</f>
        <v>8039</v>
      </c>
      <c r="M13" s="528">
        <v>19168</v>
      </c>
      <c r="N13" s="528">
        <v>38123</v>
      </c>
      <c r="O13" s="530">
        <v>291616</v>
      </c>
      <c r="P13" s="716">
        <f t="shared" si="1"/>
        <v>396351</v>
      </c>
    </row>
    <row r="14" spans="2:16" s="429" customFormat="1" ht="12.75">
      <c r="B14" s="527" t="s">
        <v>226</v>
      </c>
      <c r="C14" s="555"/>
      <c r="D14" s="528">
        <f>SUM('ÖNK_Likviditási '!D14)</f>
        <v>0</v>
      </c>
      <c r="E14" s="528">
        <f>SUM('ÖNK_Likviditási '!E14)</f>
        <v>0</v>
      </c>
      <c r="F14" s="528">
        <f>SUM('ÖNK_Likviditási '!F14)</f>
        <v>0</v>
      </c>
      <c r="G14" s="528">
        <f>SUM('ÖNK_Likviditási '!G14)</f>
        <v>0</v>
      </c>
      <c r="H14" s="528">
        <f>SUM('ÖNK_Likviditási '!H14)</f>
        <v>0</v>
      </c>
      <c r="I14" s="528">
        <f>SUM('ÖNK_Likviditási '!I14)</f>
        <v>37418</v>
      </c>
      <c r="J14" s="528">
        <f>SUM('ÖNK_Likviditási '!J14)</f>
        <v>0</v>
      </c>
      <c r="K14" s="528">
        <f>SUM('ÖNK_Likviditási '!K14)</f>
        <v>0</v>
      </c>
      <c r="L14" s="528">
        <f>SUM('ÖNK_Likviditási '!L14)</f>
        <v>0</v>
      </c>
      <c r="M14" s="528">
        <v>0</v>
      </c>
      <c r="N14" s="528">
        <v>100</v>
      </c>
      <c r="O14" s="528">
        <v>31946</v>
      </c>
      <c r="P14" s="716">
        <f t="shared" si="1"/>
        <v>69464</v>
      </c>
    </row>
    <row r="15" spans="2:16" s="429" customFormat="1" ht="13.5" thickBot="1">
      <c r="B15" s="527" t="s">
        <v>277</v>
      </c>
      <c r="C15" s="555"/>
      <c r="D15" s="528">
        <f>SUM('ÖNK_Likviditási '!D15+PH_Likviditási!D14+GAM_Likviditási!D14+ILMK_Likviditási!D14+OVI_Likviditási!D14)</f>
        <v>0</v>
      </c>
      <c r="E15" s="528">
        <f>SUM('ÖNK_Likviditási '!E15+PH_Likviditási!E14+GAM_Likviditási!E14+ILMK_Likviditási!E14+OVI_Likviditási!E14)</f>
        <v>0</v>
      </c>
      <c r="F15" s="528">
        <f>SUM('ÖNK_Likviditási '!F15+PH_Likviditási!F14+GAM_Likviditási!F14+ILMK_Likviditási!F14+OVI_Likviditási!F14)</f>
        <v>260</v>
      </c>
      <c r="G15" s="528">
        <f>SUM('ÖNK_Likviditási '!G15+PH_Likviditási!G14+GAM_Likviditási!G14+ILMK_Likviditási!G14+OVI_Likviditási!G14)</f>
        <v>0</v>
      </c>
      <c r="H15" s="528">
        <f>SUM('ÖNK_Likviditási '!H15+PH_Likviditási!H14+GAM_Likviditási!H14+ILMK_Likviditási!H14+OVI_Likviditási!H14)</f>
        <v>0</v>
      </c>
      <c r="I15" s="528">
        <f>SUM('ÖNK_Likviditási '!I15+PH_Likviditási!I14+GAM_Likviditási!I14+ILMK_Likviditási!I14+OVI_Likviditási!I14)</f>
        <v>30</v>
      </c>
      <c r="J15" s="528">
        <f>SUM('ÖNK_Likviditási '!J15+PH_Likviditási!J14+GAM_Likviditási!J14+ILMK_Likviditási!J14+OVI_Likviditási!J14)</f>
        <v>-11475</v>
      </c>
      <c r="K15" s="528">
        <f>SUM('ÖNK_Likviditási '!K15+PH_Likviditási!K14+GAM_Likviditási!K14+ILMK_Likviditási!K14+OVI_Likviditási!K14)</f>
        <v>1407</v>
      </c>
      <c r="L15" s="528">
        <f>SUM('ÖNK_Likviditási '!L15+PH_Likviditási!L14+GAM_Likviditási!L14+ILMK_Likviditási!L14+OVI_Likviditási!L14)</f>
        <v>12298</v>
      </c>
      <c r="M15" s="528">
        <v>-15922</v>
      </c>
      <c r="N15" s="528">
        <v>250</v>
      </c>
      <c r="O15" s="528">
        <v>13152</v>
      </c>
      <c r="P15" s="716">
        <f t="shared" si="1"/>
        <v>0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95829</v>
      </c>
      <c r="E16" s="539">
        <f t="shared" si="2"/>
        <v>95779</v>
      </c>
      <c r="F16" s="539">
        <f t="shared" si="2"/>
        <v>96089</v>
      </c>
      <c r="G16" s="539">
        <f t="shared" si="2"/>
        <v>72276</v>
      </c>
      <c r="H16" s="539">
        <f t="shared" si="2"/>
        <v>73139</v>
      </c>
      <c r="I16" s="539">
        <f t="shared" si="2"/>
        <v>381814</v>
      </c>
      <c r="J16" s="539">
        <f t="shared" si="2"/>
        <v>59985</v>
      </c>
      <c r="K16" s="539">
        <f t="shared" si="2"/>
        <v>87161</v>
      </c>
      <c r="L16" s="539">
        <f t="shared" si="2"/>
        <v>119334</v>
      </c>
      <c r="M16" s="539">
        <f t="shared" si="2"/>
        <v>70941</v>
      </c>
      <c r="N16" s="539">
        <f t="shared" si="2"/>
        <v>128514</v>
      </c>
      <c r="O16" s="539">
        <f t="shared" si="2"/>
        <v>554860</v>
      </c>
      <c r="P16" s="538">
        <f t="shared" si="2"/>
        <v>1835721</v>
      </c>
    </row>
    <row r="17" spans="2:16" s="429" customFormat="1" ht="12.75">
      <c r="B17" s="542" t="s">
        <v>112</v>
      </c>
      <c r="C17" s="554"/>
      <c r="D17" s="543">
        <f>SUM('ÖNK_Likviditási '!D17+PH_Likviditási!D17+GAM_Likviditási!D17+ILMK_Likviditási!D17+OVI_Likviditási!D17)</f>
        <v>17661</v>
      </c>
      <c r="E17" s="525">
        <f>SUM('ÖNK_Likviditási '!E17+PH_Likviditási!E17+GAM_Likviditási!E17+ILMK_Likviditási!E17+OVI_Likviditási!E17)</f>
        <v>17662</v>
      </c>
      <c r="F17" s="525">
        <f>SUM('ÖNK_Likviditási '!F17+PH_Likviditási!F17+GAM_Likviditási!F17+ILMK_Likviditási!F17+OVI_Likviditási!F17)</f>
        <v>17661</v>
      </c>
      <c r="G17" s="525">
        <f>SUM('ÖNK_Likviditási '!G17+PH_Likviditási!G17+GAM_Likviditási!G17+ILMK_Likviditási!G17+OVI_Likviditási!G17)</f>
        <v>27297</v>
      </c>
      <c r="H17" s="525">
        <f>SUM('ÖNK_Likviditási '!H17+PH_Likviditási!H17+GAM_Likviditási!H17+ILMK_Likviditási!H17+OVI_Likviditási!H17)</f>
        <v>27298</v>
      </c>
      <c r="I17" s="525">
        <f>SUM('ÖNK_Likviditási '!I17+PH_Likviditási!I17+GAM_Likviditási!I17+ILMK_Likviditási!I17+OVI_Likviditási!I17)</f>
        <v>27297</v>
      </c>
      <c r="J17" s="525">
        <f>SUM('ÖNK_Likviditási '!J17+PH_Likviditási!J17+GAM_Likviditási!J17+ILMK_Likviditási!J17+OVI_Likviditási!J17)</f>
        <v>24891</v>
      </c>
      <c r="K17" s="525">
        <f>SUM('ÖNK_Likviditási '!K17+PH_Likviditási!K17+GAM_Likviditási!K17+ILMK_Likviditási!K17+OVI_Likviditási!K17)</f>
        <v>25518</v>
      </c>
      <c r="L17" s="525">
        <f>SUM('ÖNK_Likviditási '!L17+PH_Likviditási!L17+GAM_Likviditási!L17+ILMK_Likviditási!L17+OVI_Likviditási!L17)</f>
        <v>25933</v>
      </c>
      <c r="M17" s="525">
        <v>30336</v>
      </c>
      <c r="N17" s="525">
        <v>30581</v>
      </c>
      <c r="O17" s="526">
        <v>45984</v>
      </c>
      <c r="P17" s="523">
        <f>SUM(D17:O17)</f>
        <v>318119</v>
      </c>
    </row>
    <row r="18" spans="2:16" s="429" customFormat="1" ht="12.75">
      <c r="B18" s="544" t="s">
        <v>113</v>
      </c>
      <c r="C18" s="555"/>
      <c r="D18" s="545">
        <f>SUM('ÖNK_Likviditási '!D18+PH_Likviditási!D18+GAM_Likviditási!D18+ILMK_Likviditási!D18+OVI_Likviditási!D18)</f>
        <v>3942</v>
      </c>
      <c r="E18" s="529">
        <f>SUM('ÖNK_Likviditási '!E18+PH_Likviditási!E18+GAM_Likviditási!E18+ILMK_Likviditási!E18+OVI_Likviditási!E18)</f>
        <v>3942</v>
      </c>
      <c r="F18" s="529">
        <f>SUM('ÖNK_Likviditási '!F18+PH_Likviditási!F18+GAM_Likviditási!F18+ILMK_Likviditási!F18+OVI_Likviditási!F18)</f>
        <v>3942</v>
      </c>
      <c r="G18" s="529">
        <f>SUM('ÖNK_Likviditási '!G18+PH_Likviditási!G18+GAM_Likviditási!G18+ILMK_Likviditási!G18+OVI_Likviditási!G18)</f>
        <v>5473</v>
      </c>
      <c r="H18" s="529">
        <f>SUM('ÖNK_Likviditási '!H18+PH_Likviditási!H18+GAM_Likviditási!H18+ILMK_Likviditási!H18+OVI_Likviditási!H18)</f>
        <v>5473</v>
      </c>
      <c r="I18" s="529">
        <f>SUM('ÖNK_Likviditási '!I18+PH_Likviditási!I18+GAM_Likviditási!I18+ILMK_Likviditási!I18+OVI_Likviditási!I18)</f>
        <v>5473</v>
      </c>
      <c r="J18" s="529">
        <f>SUM('ÖNK_Likviditási '!J18+PH_Likviditási!J18+GAM_Likviditási!J18+ILMK_Likviditási!J18+OVI_Likviditási!J18)</f>
        <v>4877</v>
      </c>
      <c r="K18" s="529">
        <f>SUM('ÖNK_Likviditási '!K18+PH_Likviditási!K18+GAM_Likviditási!K18+ILMK_Likviditási!K18+OVI_Likviditási!K18)</f>
        <v>4989</v>
      </c>
      <c r="L18" s="529">
        <f>SUM('ÖNK_Likviditási '!L18+PH_Likviditási!L18+GAM_Likviditási!L18+ILMK_Likviditási!L18+OVI_Likviditási!L18)</f>
        <v>5083</v>
      </c>
      <c r="M18" s="529">
        <v>6379</v>
      </c>
      <c r="N18" s="529">
        <v>6480</v>
      </c>
      <c r="O18" s="530">
        <v>11495</v>
      </c>
      <c r="P18" s="512">
        <f aca="true" t="shared" si="3" ref="P18:P26">SUM(D18:O18)</f>
        <v>67548</v>
      </c>
    </row>
    <row r="19" spans="2:16" s="429" customFormat="1" ht="12.75">
      <c r="B19" s="544" t="s">
        <v>114</v>
      </c>
      <c r="C19" s="555"/>
      <c r="D19" s="545">
        <f>SUM('ÖNK_Likviditási '!D19+PH_Likviditási!D19+GAM_Likviditási!D19+ILMK_Likviditási!D19+OVI_Likviditási!D19)</f>
        <v>23816</v>
      </c>
      <c r="E19" s="529">
        <f>SUM('ÖNK_Likviditási '!E19+PH_Likviditási!E19+GAM_Likviditási!E19+ILMK_Likviditási!E19+OVI_Likviditási!E19)</f>
        <v>23816</v>
      </c>
      <c r="F19" s="529">
        <f>SUM('ÖNK_Likviditási '!F19+PH_Likviditási!F19+GAM_Likviditási!F19+ILMK_Likviditási!F19+OVI_Likviditási!F19)</f>
        <v>23816</v>
      </c>
      <c r="G19" s="529">
        <f>SUM('ÖNK_Likviditási '!G19+PH_Likviditási!G19+GAM_Likviditási!G19+ILMK_Likviditási!G19+OVI_Likviditási!G19)</f>
        <v>29400</v>
      </c>
      <c r="H19" s="529">
        <f>SUM('ÖNK_Likviditási '!H19+PH_Likviditási!H19+GAM_Likviditási!H19+ILMK_Likviditási!H19+OVI_Likviditási!H19)</f>
        <v>29401</v>
      </c>
      <c r="I19" s="529">
        <f>SUM('ÖNK_Likviditási '!I19+PH_Likviditási!I19+GAM_Likviditási!I19+ILMK_Likviditási!I19+OVI_Likviditási!I19)</f>
        <v>29400</v>
      </c>
      <c r="J19" s="529">
        <f>SUM('ÖNK_Likviditási '!J19+PH_Likviditási!J19+GAM_Likviditási!J19+ILMK_Likviditási!J19+OVI_Likviditási!J19)</f>
        <v>27975</v>
      </c>
      <c r="K19" s="529">
        <f>SUM('ÖNK_Likviditási '!K19+PH_Likviditási!K19+GAM_Likviditási!K19+ILMK_Likviditási!K19+OVI_Likviditási!K19)</f>
        <v>22748</v>
      </c>
      <c r="L19" s="529">
        <f>SUM('ÖNK_Likviditási '!L19+PH_Likviditási!L19+GAM_Likviditási!L19+ILMK_Likviditási!L19+OVI_Likviditási!L19)</f>
        <v>21412</v>
      </c>
      <c r="M19" s="529">
        <v>29486</v>
      </c>
      <c r="N19" s="529">
        <v>18276</v>
      </c>
      <c r="O19" s="530">
        <v>90210</v>
      </c>
      <c r="P19" s="512">
        <f t="shared" si="3"/>
        <v>369756</v>
      </c>
    </row>
    <row r="20" spans="2:16" s="429" customFormat="1" ht="12.75">
      <c r="B20" s="546" t="s">
        <v>115</v>
      </c>
      <c r="C20" s="555"/>
      <c r="D20" s="545">
        <f>SUM('ÖNK_Likviditási '!D20+PH_Likviditási!D20+GAM_Likviditási!D20+ILMK_Likviditási!D20+OVI_Likviditási!D20)</f>
        <v>26491</v>
      </c>
      <c r="E20" s="529">
        <f>SUM('ÖNK_Likviditási '!E20+PH_Likviditási!E20+GAM_Likviditási!E20+ILMK_Likviditási!E20+OVI_Likviditási!E20)</f>
        <v>26491</v>
      </c>
      <c r="F20" s="529">
        <f>SUM('ÖNK_Likviditási '!F20+PH_Likviditási!F20+GAM_Likviditási!F20+ILMK_Likviditási!F20+OVI_Likviditási!F20)</f>
        <v>26491</v>
      </c>
      <c r="G20" s="529">
        <f>SUM('ÖNK_Likviditási '!G20+PH_Likviditási!G20+GAM_Likviditási!G20+ILMK_Likviditási!G20+OVI_Likviditási!G20)</f>
        <v>20625</v>
      </c>
      <c r="H20" s="529">
        <f>SUM('ÖNK_Likviditási '!H20+PH_Likviditási!H20+GAM_Likviditási!H20+ILMK_Likviditási!H20+OVI_Likviditási!H20)</f>
        <v>20626</v>
      </c>
      <c r="I20" s="529">
        <f>SUM('ÖNK_Likviditási '!I20+PH_Likviditási!I20+GAM_Likviditási!I20+ILMK_Likviditási!I20+OVI_Likviditási!I20)</f>
        <v>20625</v>
      </c>
      <c r="J20" s="529">
        <f>SUM('ÖNK_Likviditási '!J20+PH_Likviditási!J20+GAM_Likviditási!J20+ILMK_Likviditási!J20+OVI_Likviditási!J20)</f>
        <v>34304</v>
      </c>
      <c r="K20" s="529">
        <f>SUM('ÖNK_Likviditási '!K20+PH_Likviditási!K20+GAM_Likviditási!K20+ILMK_Likviditási!K20+OVI_Likviditási!K20)</f>
        <v>23667</v>
      </c>
      <c r="L20" s="529">
        <f>SUM('ÖNK_Likviditási '!L20+PH_Likviditási!L20+GAM_Likviditási!L20+ILMK_Likviditási!L20+OVI_Likviditási!L20)</f>
        <v>57019</v>
      </c>
      <c r="M20" s="529">
        <v>20454</v>
      </c>
      <c r="N20" s="529">
        <v>16881</v>
      </c>
      <c r="O20" s="530">
        <v>122577</v>
      </c>
      <c r="P20" s="512">
        <f t="shared" si="3"/>
        <v>416251</v>
      </c>
    </row>
    <row r="21" spans="2:16" s="429" customFormat="1" ht="12.75">
      <c r="B21" s="544" t="s">
        <v>119</v>
      </c>
      <c r="C21" s="555"/>
      <c r="D21" s="545">
        <f>SUM('ÖNK_Likviditási '!D21+PH_Likviditási!D21+GAM_Likviditási!D21+ILMK_Likviditási!D21+OVI_Likviditási!D21)</f>
        <v>2255</v>
      </c>
      <c r="E21" s="529">
        <f>SUM('ÖNK_Likviditási '!E21+PH_Likviditási!E21+GAM_Likviditási!E21+ILMK_Likviditási!E21+OVI_Likviditási!E21)</f>
        <v>2255</v>
      </c>
      <c r="F21" s="529">
        <f>SUM('ÖNK_Likviditási '!F21+PH_Likviditási!F21+GAM_Likviditási!F21+ILMK_Likviditási!F21+OVI_Likviditási!F21)</f>
        <v>2255</v>
      </c>
      <c r="G21" s="529">
        <f>SUM('ÖNK_Likviditási '!G21+PH_Likviditási!G21+GAM_Likviditási!G21+ILMK_Likviditási!G21+OVI_Likviditási!G21)</f>
        <v>2888</v>
      </c>
      <c r="H21" s="529">
        <f>SUM('ÖNK_Likviditási '!H21+PH_Likviditási!H21+GAM_Likviditási!H21+ILMK_Likviditási!H21+OVI_Likviditási!H21)</f>
        <v>2887</v>
      </c>
      <c r="I21" s="529">
        <f>SUM('ÖNK_Likviditási '!I21+PH_Likviditási!I21+GAM_Likviditási!I21+ILMK_Likviditási!I21+OVI_Likviditási!I21)</f>
        <v>2888</v>
      </c>
      <c r="J21" s="529">
        <f>SUM('ÖNK_Likviditási '!J21+PH_Likviditási!J21+GAM_Likviditási!J21+ILMK_Likviditási!J21+OVI_Likviditási!J21)</f>
        <v>2881</v>
      </c>
      <c r="K21" s="529">
        <f>SUM('ÖNK_Likviditási '!K21+PH_Likviditási!K21+GAM_Likviditási!K21+ILMK_Likviditási!K21+OVI_Likviditási!K21)</f>
        <v>801</v>
      </c>
      <c r="L21" s="529">
        <f>SUM('ÖNK_Likviditási '!L21+PH_Likviditási!L21+GAM_Likviditási!L21+ILMK_Likviditási!L21+OVI_Likviditási!L21)</f>
        <v>629</v>
      </c>
      <c r="M21" s="529">
        <v>12645</v>
      </c>
      <c r="N21" s="529">
        <v>6904</v>
      </c>
      <c r="O21" s="530">
        <v>291899</v>
      </c>
      <c r="P21" s="512">
        <f t="shared" si="3"/>
        <v>331187</v>
      </c>
    </row>
    <row r="22" spans="2:16" s="429" customFormat="1" ht="12.75">
      <c r="B22" s="544" t="s">
        <v>120</v>
      </c>
      <c r="C22" s="555"/>
      <c r="D22" s="545">
        <f>SUM('ÖNK_Likviditási '!D22+PH_Likviditási!D22+GAM_Likviditási!D22+ILMK_Likviditási!D22+OVI_Likviditási!D22)</f>
        <v>1889</v>
      </c>
      <c r="E22" s="529">
        <f>SUM('ÖNK_Likviditási '!E22+PH_Likviditási!E22+GAM_Likviditási!E22+ILMK_Likviditási!E22+OVI_Likviditási!E22)</f>
        <v>1889</v>
      </c>
      <c r="F22" s="529">
        <f>SUM('ÖNK_Likviditási '!F22+PH_Likviditási!F22+GAM_Likviditási!F22+ILMK_Likviditási!F22+OVI_Likviditási!F22)</f>
        <v>1889</v>
      </c>
      <c r="G22" s="529">
        <f>SUM('ÖNK_Likviditási '!G22+PH_Likviditási!G22+GAM_Likviditási!G22+ILMK_Likviditási!G22+OVI_Likviditási!G22)</f>
        <v>1760</v>
      </c>
      <c r="H22" s="529">
        <f>SUM('ÖNK_Likviditási '!H22+PH_Likviditási!H22+GAM_Likviditási!H22+ILMK_Likviditási!H22+OVI_Likviditási!H22)</f>
        <v>1760</v>
      </c>
      <c r="I22" s="529">
        <f>SUM('ÖNK_Likviditási '!I22+PH_Likviditási!I22+GAM_Likviditási!I22+ILMK_Likviditási!I22+OVI_Likviditási!I22)</f>
        <v>1760</v>
      </c>
      <c r="J22" s="529">
        <f>SUM('ÖNK_Likviditási '!J22+PH_Likviditási!J22+GAM_Likviditási!J22+ILMK_Likviditási!J22+OVI_Likviditási!J22)</f>
        <v>0</v>
      </c>
      <c r="K22" s="529">
        <f>SUM('ÖNK_Likviditási '!K22+PH_Likviditási!K22+GAM_Likviditási!K22+ILMK_Likviditási!K22+OVI_Likviditási!K22)</f>
        <v>0</v>
      </c>
      <c r="L22" s="529">
        <f>SUM('ÖNK_Likviditási '!L22+PH_Likviditási!L22+GAM_Likviditási!L22+ILMK_Likviditási!L22+OVI_Likviditási!L22)</f>
        <v>2000</v>
      </c>
      <c r="M22" s="529">
        <v>-2752</v>
      </c>
      <c r="N22" s="529">
        <v>0</v>
      </c>
      <c r="O22" s="530">
        <v>60602</v>
      </c>
      <c r="P22" s="512">
        <f t="shared" si="3"/>
        <v>70797</v>
      </c>
    </row>
    <row r="23" spans="2:16" s="429" customFormat="1" ht="12.75">
      <c r="B23" s="544" t="s">
        <v>121</v>
      </c>
      <c r="C23" s="555"/>
      <c r="D23" s="545">
        <f>SUM('ÖNK_Likviditási '!D23+PH_Likviditási!D23+GAM_Likviditási!D23+ILMK_Likviditási!D23+OVI_Likviditási!D23)</f>
        <v>489</v>
      </c>
      <c r="E23" s="529">
        <f>SUM('ÖNK_Likviditási '!E23+PH_Likviditási!E23+GAM_Likviditási!E23+ILMK_Likviditási!E23+OVI_Likviditási!E23)</f>
        <v>489</v>
      </c>
      <c r="F23" s="529">
        <f>SUM('ÖNK_Likviditási '!F23+PH_Likviditási!F23+GAM_Likviditási!F23+ILMK_Likviditási!F23+OVI_Likviditási!F23)</f>
        <v>489</v>
      </c>
      <c r="G23" s="529">
        <f>SUM('ÖNK_Likviditási '!G23+PH_Likviditási!G23+GAM_Likviditási!G23+ILMK_Likviditási!G23+OVI_Likviditási!G23)</f>
        <v>397</v>
      </c>
      <c r="H23" s="529">
        <f>SUM('ÖNK_Likviditási '!H23+PH_Likviditási!H23+GAM_Likviditási!H23+ILMK_Likviditási!H23+OVI_Likviditási!H23)</f>
        <v>397</v>
      </c>
      <c r="I23" s="529">
        <f>SUM('ÖNK_Likviditási '!I23+PH_Likviditási!I23+GAM_Likviditási!I23+ILMK_Likviditási!I23+OVI_Likviditási!I23)</f>
        <v>397</v>
      </c>
      <c r="J23" s="529">
        <f>SUM('ÖNK_Likviditási '!J23+PH_Likviditási!J23+GAM_Likviditási!J23+ILMK_Likviditási!J23+OVI_Likviditási!J23)</f>
        <v>0</v>
      </c>
      <c r="K23" s="529">
        <f>SUM('ÖNK_Likviditási '!K23+PH_Likviditási!K23+GAM_Likviditási!K23+ILMK_Likviditási!K23+OVI_Likviditási!K23)</f>
        <v>1446</v>
      </c>
      <c r="L23" s="529">
        <f>SUM('ÖNK_Likviditási '!L23+PH_Likviditási!L23+GAM_Likviditási!L23+ILMK_Likviditási!L23+OVI_Likviditási!L23)</f>
        <v>4054</v>
      </c>
      <c r="M23" s="529">
        <v>-1500</v>
      </c>
      <c r="N23" s="529">
        <v>0</v>
      </c>
      <c r="O23" s="530">
        <v>18861</v>
      </c>
      <c r="P23" s="512">
        <f t="shared" si="3"/>
        <v>25519</v>
      </c>
    </row>
    <row r="24" spans="2:16" s="429" customFormat="1" ht="12.75">
      <c r="B24" s="544" t="s">
        <v>279</v>
      </c>
      <c r="C24" s="555"/>
      <c r="D24" s="545">
        <f>SUM('ÖNK_Likviditási '!D24)</f>
        <v>0</v>
      </c>
      <c r="E24" s="529">
        <f>SUM('ÖNK_Likviditási '!E24)</f>
        <v>0</v>
      </c>
      <c r="F24" s="529">
        <f>SUM('ÖNK_Likviditási '!F24)</f>
        <v>6364</v>
      </c>
      <c r="G24" s="529">
        <f>SUM('ÖNK_Likviditási '!G24)</f>
        <v>0</v>
      </c>
      <c r="H24" s="529">
        <f>SUM('ÖNK_Likviditási '!H24)</f>
        <v>0</v>
      </c>
      <c r="I24" s="529">
        <f>SUM('ÖNK_Likviditási '!I24)</f>
        <v>213176</v>
      </c>
      <c r="J24" s="529">
        <f>SUM('ÖNK_Likviditási '!J24)</f>
        <v>1259</v>
      </c>
      <c r="K24" s="529">
        <f>SUM('ÖNK_Likviditási '!K24)</f>
        <v>0</v>
      </c>
      <c r="L24" s="529">
        <f>SUM('ÖNK_Likviditási '!L24)</f>
        <v>2427</v>
      </c>
      <c r="M24" s="529">
        <v>37633</v>
      </c>
      <c r="N24" s="529">
        <v>0</v>
      </c>
      <c r="O24" s="530">
        <v>0</v>
      </c>
      <c r="P24" s="512">
        <f t="shared" si="3"/>
        <v>260859</v>
      </c>
    </row>
    <row r="25" spans="2:16" s="429" customFormat="1" ht="12.75">
      <c r="B25" s="544" t="s">
        <v>280</v>
      </c>
      <c r="C25" s="555"/>
      <c r="D25" s="545">
        <f>SUM('ÖNK_Likviditási '!D25+PH_Likviditási!D24+GAM_Likviditási!D24+ILMK_Likviditási!D24+OVI_Likviditási!D24)</f>
        <v>0</v>
      </c>
      <c r="E25" s="529">
        <f>SUM('ÖNK_Likviditási '!E25+PH_Likviditási!E24+GAM_Likviditási!E24+ILMK_Likviditási!E24+OVI_Likviditási!E24)</f>
        <v>0</v>
      </c>
      <c r="F25" s="529">
        <v>-15365</v>
      </c>
      <c r="G25" s="529">
        <f>SUM('ÖNK_Likviditási '!G25+PH_Likviditási!G24+GAM_Likviditási!G24+ILMK_Likviditási!G24+OVI_Likviditási!G24)</f>
        <v>0</v>
      </c>
      <c r="H25" s="529">
        <f>SUM('ÖNK_Likviditási '!H25+PH_Likviditási!H24+GAM_Likviditási!H24+ILMK_Likviditási!H24+OVI_Likviditási!H24)</f>
        <v>0</v>
      </c>
      <c r="I25" s="529">
        <v>-10870</v>
      </c>
      <c r="J25" s="529">
        <v>17616</v>
      </c>
      <c r="K25" s="529">
        <f>SUM('ÖNK_Likviditási '!K25+PH_Likviditási!K24+GAM_Likviditási!K24+ILMK_Likviditási!K24+OVI_Likviditási!K24)</f>
        <v>12246</v>
      </c>
      <c r="L25" s="529">
        <f>SUM('ÖNK_Likviditási '!L25+PH_Likviditási!L24+GAM_Likviditási!L24+ILMK_Likviditási!L24+OVI_Likviditási!L24)</f>
        <v>-30230</v>
      </c>
      <c r="M25" s="529">
        <v>14689</v>
      </c>
      <c r="N25" s="529">
        <v>-8827</v>
      </c>
      <c r="O25" s="530">
        <v>20741</v>
      </c>
      <c r="P25" s="512">
        <f t="shared" si="3"/>
        <v>0</v>
      </c>
    </row>
    <row r="26" spans="2:16" s="429" customFormat="1" ht="13.5" thickBot="1">
      <c r="B26" s="708" t="s">
        <v>750</v>
      </c>
      <c r="C26" s="713"/>
      <c r="D26" s="710">
        <f>SUM('ÖNK_Likviditási '!D26)</f>
        <v>18099</v>
      </c>
      <c r="E26" s="711">
        <f>SUM('ÖNK_Likviditási '!E26)</f>
        <v>18047</v>
      </c>
      <c r="F26" s="711">
        <f>SUM('ÖNK_Likviditási '!F26)</f>
        <v>1272</v>
      </c>
      <c r="G26" s="711">
        <f>SUM('ÖNK_Likviditási '!G26)</f>
        <v>0</v>
      </c>
      <c r="H26" s="711">
        <f>SUM('ÖNK_Likviditási '!H26)</f>
        <v>0</v>
      </c>
      <c r="I26" s="711">
        <f>SUM('ÖNK_Likviditási '!I26)</f>
        <v>37418</v>
      </c>
      <c r="J26" s="711">
        <f>SUM('ÖNK_Likviditási '!J26)</f>
        <v>0</v>
      </c>
      <c r="K26" s="711">
        <f>SUM('ÖNK_Likviditási '!K26)</f>
        <v>0</v>
      </c>
      <c r="L26" s="711">
        <f>SUM('ÖNK_Likviditási '!L26)</f>
        <v>0</v>
      </c>
      <c r="M26" s="711">
        <v>-37418</v>
      </c>
      <c r="N26" s="711">
        <v>0</v>
      </c>
      <c r="O26" s="712">
        <v>0</v>
      </c>
      <c r="P26" s="709">
        <f t="shared" si="3"/>
        <v>37418</v>
      </c>
    </row>
    <row r="27" spans="2:16" s="429" customFormat="1" ht="13.5" thickBot="1">
      <c r="B27" s="537" t="s">
        <v>148</v>
      </c>
      <c r="C27" s="558" t="s">
        <v>151</v>
      </c>
      <c r="D27" s="539">
        <f>SUM(D17:D26)</f>
        <v>94642</v>
      </c>
      <c r="E27" s="539">
        <f aca="true" t="shared" si="4" ref="E27:O27">SUM(E17:E26)</f>
        <v>94591</v>
      </c>
      <c r="F27" s="539">
        <f t="shared" si="4"/>
        <v>68814</v>
      </c>
      <c r="G27" s="539">
        <f t="shared" si="4"/>
        <v>87840</v>
      </c>
      <c r="H27" s="539">
        <f t="shared" si="4"/>
        <v>87842</v>
      </c>
      <c r="I27" s="539">
        <f t="shared" si="4"/>
        <v>327564</v>
      </c>
      <c r="J27" s="539">
        <f t="shared" si="4"/>
        <v>113803</v>
      </c>
      <c r="K27" s="539">
        <f t="shared" si="4"/>
        <v>91415</v>
      </c>
      <c r="L27" s="539">
        <f t="shared" si="4"/>
        <v>88327</v>
      </c>
      <c r="M27" s="539">
        <f t="shared" si="4"/>
        <v>109952</v>
      </c>
      <c r="N27" s="539">
        <f t="shared" si="4"/>
        <v>70295</v>
      </c>
      <c r="O27" s="539">
        <f t="shared" si="4"/>
        <v>662369</v>
      </c>
      <c r="P27" s="538">
        <f>SUM(P17:P26)</f>
        <v>1897454</v>
      </c>
    </row>
    <row r="28" spans="2:18" s="429" customFormat="1" ht="13.5" thickBot="1">
      <c r="B28" s="559" t="s">
        <v>152</v>
      </c>
      <c r="C28" s="518" t="s">
        <v>153</v>
      </c>
      <c r="D28" s="560">
        <f aca="true" t="shared" si="5" ref="D28:O28">SUM(D8+D16-D27)</f>
        <v>62920</v>
      </c>
      <c r="E28" s="550">
        <f t="shared" si="5"/>
        <v>64108</v>
      </c>
      <c r="F28" s="550">
        <f t="shared" si="5"/>
        <v>91383</v>
      </c>
      <c r="G28" s="550">
        <f t="shared" si="5"/>
        <v>75819</v>
      </c>
      <c r="H28" s="550">
        <f t="shared" si="5"/>
        <v>61116</v>
      </c>
      <c r="I28" s="550">
        <f t="shared" si="5"/>
        <v>115366</v>
      </c>
      <c r="J28" s="550">
        <f t="shared" si="5"/>
        <v>61548</v>
      </c>
      <c r="K28" s="550">
        <f t="shared" si="5"/>
        <v>57294</v>
      </c>
      <c r="L28" s="550">
        <f t="shared" si="5"/>
        <v>88301</v>
      </c>
      <c r="M28" s="550">
        <f t="shared" si="5"/>
        <v>49290</v>
      </c>
      <c r="N28" s="550">
        <f t="shared" si="5"/>
        <v>107509</v>
      </c>
      <c r="O28" s="575">
        <f t="shared" si="5"/>
        <v>0</v>
      </c>
      <c r="P28" s="561"/>
      <c r="Q28" s="430"/>
      <c r="R28" s="430"/>
    </row>
    <row r="29" spans="3:18" ht="12.75">
      <c r="C29" s="27"/>
      <c r="R2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J30"/>
  <sheetViews>
    <sheetView workbookViewId="0" topLeftCell="A4">
      <selection activeCell="I29" sqref="I29"/>
    </sheetView>
  </sheetViews>
  <sheetFormatPr defaultColWidth="9.00390625" defaultRowHeight="12.75"/>
  <cols>
    <col min="2" max="2" width="58.375" style="0" bestFit="1" customWidth="1"/>
    <col min="3" max="6" width="10.00390625" style="0" customWidth="1"/>
    <col min="7" max="9" width="13.625" style="0" customWidth="1"/>
  </cols>
  <sheetData>
    <row r="2" ht="13.5" customHeight="1"/>
    <row r="3" spans="2:10" ht="41.25" customHeight="1">
      <c r="B3" s="776" t="s">
        <v>640</v>
      </c>
      <c r="C3" s="776"/>
      <c r="D3" s="776"/>
      <c r="E3" s="776"/>
      <c r="F3" s="776"/>
      <c r="G3" s="776"/>
      <c r="H3" s="776"/>
      <c r="I3" s="776"/>
      <c r="J3" s="594"/>
    </row>
    <row r="4" spans="7:9" ht="14.25" customHeight="1">
      <c r="G4" s="18"/>
      <c r="I4" s="18"/>
    </row>
    <row r="5" spans="7:9" ht="12.75">
      <c r="G5" s="18"/>
      <c r="I5" s="136" t="s">
        <v>376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179</v>
      </c>
      <c r="C8" s="603">
        <v>113893</v>
      </c>
      <c r="D8" s="595">
        <v>17111</v>
      </c>
      <c r="E8" s="595">
        <v>67223</v>
      </c>
      <c r="F8" s="595">
        <v>138926</v>
      </c>
      <c r="G8" s="596">
        <f aca="true" t="shared" si="0" ref="G8:G24">SUM(C8:F8)</f>
        <v>337153</v>
      </c>
      <c r="H8" s="612">
        <v>1241</v>
      </c>
      <c r="I8" s="607">
        <f aca="true" t="shared" si="1" ref="I8:I24">SUM(G8:H8)</f>
        <v>338394</v>
      </c>
    </row>
    <row r="9" spans="2:9" ht="12.75">
      <c r="B9" s="55" t="s">
        <v>693</v>
      </c>
      <c r="C9" s="604">
        <v>47900</v>
      </c>
      <c r="D9" s="56">
        <v>10418</v>
      </c>
      <c r="E9" s="56">
        <v>151740</v>
      </c>
      <c r="F9" s="56">
        <v>0</v>
      </c>
      <c r="G9" s="54">
        <f t="shared" si="0"/>
        <v>210058</v>
      </c>
      <c r="H9" s="613">
        <v>4100</v>
      </c>
      <c r="I9" s="608">
        <f t="shared" si="1"/>
        <v>214158</v>
      </c>
    </row>
    <row r="10" spans="2:9" ht="12.75">
      <c r="B10" s="55" t="s">
        <v>692</v>
      </c>
      <c r="C10" s="604">
        <v>10153</v>
      </c>
      <c r="D10" s="56">
        <v>2743</v>
      </c>
      <c r="E10" s="56">
        <v>21044</v>
      </c>
      <c r="F10" s="56">
        <v>0</v>
      </c>
      <c r="G10" s="54">
        <f t="shared" si="0"/>
        <v>33940</v>
      </c>
      <c r="H10" s="613">
        <v>0</v>
      </c>
      <c r="I10" s="608">
        <f t="shared" si="1"/>
        <v>33940</v>
      </c>
    </row>
    <row r="11" spans="2:9" ht="13.5" thickBot="1">
      <c r="B11" s="55" t="s">
        <v>757</v>
      </c>
      <c r="C11" s="604">
        <v>18431</v>
      </c>
      <c r="D11" s="56">
        <v>5115</v>
      </c>
      <c r="E11" s="56">
        <v>3459</v>
      </c>
      <c r="F11" s="56">
        <v>0</v>
      </c>
      <c r="G11" s="54">
        <f t="shared" si="0"/>
        <v>27005</v>
      </c>
      <c r="H11" s="613">
        <v>0</v>
      </c>
      <c r="I11" s="608">
        <f t="shared" si="1"/>
        <v>27005</v>
      </c>
    </row>
    <row r="12" spans="2:9" ht="15.75" thickBot="1">
      <c r="B12" s="627" t="s">
        <v>664</v>
      </c>
      <c r="C12" s="628">
        <f>SUM(C8:C11)</f>
        <v>190377</v>
      </c>
      <c r="D12" s="629">
        <f>SUM(D8:D11)</f>
        <v>35387</v>
      </c>
      <c r="E12" s="629">
        <f>SUM(E8:E11)</f>
        <v>243466</v>
      </c>
      <c r="F12" s="629">
        <f>SUM(F8:F11)</f>
        <v>138926</v>
      </c>
      <c r="G12" s="630">
        <f t="shared" si="0"/>
        <v>608156</v>
      </c>
      <c r="H12" s="631">
        <f>SUM(H8:H11)</f>
        <v>5341</v>
      </c>
      <c r="I12" s="632">
        <f t="shared" si="1"/>
        <v>613497</v>
      </c>
    </row>
    <row r="13" spans="2:9" ht="12.75">
      <c r="B13" s="602" t="s">
        <v>179</v>
      </c>
      <c r="C13" s="605">
        <v>21782</v>
      </c>
      <c r="D13" s="598">
        <v>5765</v>
      </c>
      <c r="E13" s="598">
        <v>4323</v>
      </c>
      <c r="F13" s="598">
        <v>0</v>
      </c>
      <c r="G13" s="599">
        <f t="shared" si="0"/>
        <v>31870</v>
      </c>
      <c r="H13" s="614">
        <v>9776</v>
      </c>
      <c r="I13" s="610">
        <f t="shared" si="1"/>
        <v>41646</v>
      </c>
    </row>
    <row r="14" spans="2:9" ht="13.5" thickBot="1">
      <c r="B14" s="55" t="s">
        <v>692</v>
      </c>
      <c r="C14" s="604">
        <v>4058</v>
      </c>
      <c r="D14" s="56">
        <v>1096</v>
      </c>
      <c r="E14" s="56">
        <v>6853</v>
      </c>
      <c r="F14" s="56">
        <v>0</v>
      </c>
      <c r="G14" s="54">
        <f t="shared" si="0"/>
        <v>12007</v>
      </c>
      <c r="H14" s="613">
        <v>0</v>
      </c>
      <c r="I14" s="608">
        <f t="shared" si="1"/>
        <v>12007</v>
      </c>
    </row>
    <row r="15" spans="2:9" s="18" customFormat="1" ht="13.5" thickBot="1">
      <c r="B15" s="673" t="s">
        <v>704</v>
      </c>
      <c r="C15" s="674">
        <f>SUM(C13:C14)</f>
        <v>25840</v>
      </c>
      <c r="D15" s="675">
        <f>SUM(D13:D14)</f>
        <v>6861</v>
      </c>
      <c r="E15" s="675">
        <f>SUM(E13:E14)</f>
        <v>11176</v>
      </c>
      <c r="F15" s="675">
        <f>SUM(F13:F14)</f>
        <v>0</v>
      </c>
      <c r="G15" s="676">
        <f t="shared" si="0"/>
        <v>43877</v>
      </c>
      <c r="H15" s="677">
        <f>SUM(H13:H14)</f>
        <v>9776</v>
      </c>
      <c r="I15" s="678">
        <f t="shared" si="1"/>
        <v>53653</v>
      </c>
    </row>
    <row r="16" spans="2:9" ht="13.5" thickBot="1">
      <c r="B16" s="602" t="s">
        <v>179</v>
      </c>
      <c r="C16" s="605">
        <v>7945</v>
      </c>
      <c r="D16" s="598">
        <v>1827</v>
      </c>
      <c r="E16" s="598">
        <v>6327</v>
      </c>
      <c r="F16" s="598">
        <v>0</v>
      </c>
      <c r="G16" s="599">
        <f t="shared" si="0"/>
        <v>16099</v>
      </c>
      <c r="H16" s="614">
        <v>391315</v>
      </c>
      <c r="I16" s="610">
        <f t="shared" si="1"/>
        <v>407414</v>
      </c>
    </row>
    <row r="17" spans="2:9" s="18" customFormat="1" ht="13.5" thickBot="1">
      <c r="B17" s="673" t="s">
        <v>706</v>
      </c>
      <c r="C17" s="674">
        <f>SUM(C16)</f>
        <v>7945</v>
      </c>
      <c r="D17" s="674">
        <f>SUM(D16)</f>
        <v>1827</v>
      </c>
      <c r="E17" s="674">
        <f>SUM(E16)</f>
        <v>6327</v>
      </c>
      <c r="F17" s="674">
        <f>SUM(F16)</f>
        <v>0</v>
      </c>
      <c r="G17" s="676">
        <f t="shared" si="0"/>
        <v>16099</v>
      </c>
      <c r="H17" s="677">
        <f>SUM(H16)</f>
        <v>391315</v>
      </c>
      <c r="I17" s="678">
        <f t="shared" si="1"/>
        <v>407414</v>
      </c>
    </row>
    <row r="18" spans="2:9" ht="12.75">
      <c r="B18" s="602" t="s">
        <v>179</v>
      </c>
      <c r="C18" s="605">
        <v>0</v>
      </c>
      <c r="D18" s="598">
        <v>0</v>
      </c>
      <c r="E18" s="598">
        <v>68300</v>
      </c>
      <c r="F18" s="598">
        <v>12634</v>
      </c>
      <c r="G18" s="599">
        <f t="shared" si="0"/>
        <v>80934</v>
      </c>
      <c r="H18" s="614">
        <v>7031</v>
      </c>
      <c r="I18" s="610">
        <f t="shared" si="1"/>
        <v>87965</v>
      </c>
    </row>
    <row r="19" spans="2:9" ht="12.75">
      <c r="B19" s="55" t="s">
        <v>590</v>
      </c>
      <c r="C19" s="604">
        <v>172</v>
      </c>
      <c r="D19" s="56">
        <v>46</v>
      </c>
      <c r="E19" s="56">
        <v>1000</v>
      </c>
      <c r="F19" s="56">
        <v>0</v>
      </c>
      <c r="G19" s="54">
        <f t="shared" si="0"/>
        <v>1218</v>
      </c>
      <c r="H19" s="613">
        <v>0</v>
      </c>
      <c r="I19" s="608">
        <f t="shared" si="1"/>
        <v>1218</v>
      </c>
    </row>
    <row r="20" spans="2:9" ht="12.75">
      <c r="B20" s="55" t="s">
        <v>693</v>
      </c>
      <c r="C20" s="604">
        <v>3391</v>
      </c>
      <c r="D20" s="56">
        <v>828</v>
      </c>
      <c r="E20" s="56">
        <v>437</v>
      </c>
      <c r="F20" s="56">
        <v>0</v>
      </c>
      <c r="G20" s="54">
        <f t="shared" si="0"/>
        <v>4656</v>
      </c>
      <c r="H20" s="613">
        <v>0</v>
      </c>
      <c r="I20" s="608">
        <f t="shared" si="1"/>
        <v>4656</v>
      </c>
    </row>
    <row r="21" spans="2:9" ht="13.5" thickBot="1">
      <c r="B21" s="55" t="s">
        <v>692</v>
      </c>
      <c r="C21" s="604">
        <v>0</v>
      </c>
      <c r="D21" s="56">
        <v>0</v>
      </c>
      <c r="E21" s="56">
        <v>2203</v>
      </c>
      <c r="F21" s="56">
        <v>0</v>
      </c>
      <c r="G21" s="54">
        <f t="shared" si="0"/>
        <v>2203</v>
      </c>
      <c r="H21" s="613">
        <v>0</v>
      </c>
      <c r="I21" s="608">
        <f t="shared" si="1"/>
        <v>2203</v>
      </c>
    </row>
    <row r="22" spans="2:9" s="18" customFormat="1" ht="13.5" thickBot="1">
      <c r="B22" s="673" t="s">
        <v>707</v>
      </c>
      <c r="C22" s="674">
        <f>SUM(C18:C21)</f>
        <v>3563</v>
      </c>
      <c r="D22" s="674">
        <f>SUM(D18:D21)</f>
        <v>874</v>
      </c>
      <c r="E22" s="674">
        <f>SUM(E18:E21)</f>
        <v>71940</v>
      </c>
      <c r="F22" s="674">
        <f>SUM(F18:F21)</f>
        <v>12634</v>
      </c>
      <c r="G22" s="676">
        <f t="shared" si="0"/>
        <v>89011</v>
      </c>
      <c r="H22" s="677">
        <f>SUM(H18:H21)</f>
        <v>7031</v>
      </c>
      <c r="I22" s="678">
        <f t="shared" si="1"/>
        <v>96042</v>
      </c>
    </row>
    <row r="23" spans="2:9" ht="13.5" thickBot="1">
      <c r="B23" s="494" t="s">
        <v>590</v>
      </c>
      <c r="C23" s="606">
        <v>68308</v>
      </c>
      <c r="D23" s="600">
        <v>18752</v>
      </c>
      <c r="E23" s="600">
        <v>36847</v>
      </c>
      <c r="F23" s="600">
        <v>259363</v>
      </c>
      <c r="G23" s="601">
        <f t="shared" si="0"/>
        <v>383270</v>
      </c>
      <c r="H23" s="615">
        <v>0</v>
      </c>
      <c r="I23" s="611">
        <f t="shared" si="1"/>
        <v>383270</v>
      </c>
    </row>
    <row r="24" spans="2:9" ht="15.75" thickBot="1">
      <c r="B24" s="627" t="s">
        <v>666</v>
      </c>
      <c r="C24" s="628">
        <f>SUM(C23)</f>
        <v>68308</v>
      </c>
      <c r="D24" s="629">
        <f>SUM(D23)</f>
        <v>18752</v>
      </c>
      <c r="E24" s="629">
        <f>SUM(E23)</f>
        <v>36847</v>
      </c>
      <c r="F24" s="629">
        <f>SUM(F23)</f>
        <v>259363</v>
      </c>
      <c r="G24" s="630">
        <f t="shared" si="0"/>
        <v>383270</v>
      </c>
      <c r="H24" s="631">
        <f>SUM(H23)</f>
        <v>0</v>
      </c>
      <c r="I24" s="632">
        <f t="shared" si="1"/>
        <v>383270</v>
      </c>
    </row>
    <row r="30" ht="12.75">
      <c r="I30" s="63"/>
    </row>
  </sheetData>
  <sheetProtection/>
  <mergeCells count="1">
    <mergeCell ref="B3:I3"/>
  </mergeCells>
  <printOptions horizontalCentered="1"/>
  <pageMargins left="0.7480314960629921" right="0.7480314960629921" top="0.8267716535433072" bottom="0.984251968503937" header="0.5118110236220472" footer="0.5118110236220472"/>
  <pageSetup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15.25390625" style="2" bestFit="1" customWidth="1"/>
    <col min="2" max="2" width="55.625" style="2" bestFit="1" customWidth="1"/>
    <col min="3" max="3" width="52.125" style="2" bestFit="1" customWidth="1"/>
    <col min="4" max="5" width="11.00390625" style="2" customWidth="1"/>
    <col min="6" max="6" width="13.875" style="2" customWidth="1"/>
    <col min="7" max="7" width="15.875" style="2" bestFit="1" customWidth="1"/>
  </cols>
  <sheetData>
    <row r="2" spans="1:7" ht="18">
      <c r="A2" s="774" t="s">
        <v>26</v>
      </c>
      <c r="B2" s="774"/>
      <c r="C2" s="774"/>
      <c r="D2" s="774"/>
      <c r="E2" s="774"/>
      <c r="F2" s="774"/>
      <c r="G2" s="774"/>
    </row>
    <row r="4" spans="6:7" ht="12.75">
      <c r="F4" s="90" t="s">
        <v>377</v>
      </c>
      <c r="G4" s="90"/>
    </row>
    <row r="5" spans="6:7" ht="13.5" thickBot="1">
      <c r="F5" s="329" t="s">
        <v>293</v>
      </c>
      <c r="G5" s="329"/>
    </row>
    <row r="6" spans="1:11" ht="34.5" customHeight="1" thickBot="1" thickTop="1">
      <c r="A6" s="373" t="s">
        <v>294</v>
      </c>
      <c r="B6" s="795" t="s">
        <v>41</v>
      </c>
      <c r="C6" s="796"/>
      <c r="D6" s="377" t="s">
        <v>36</v>
      </c>
      <c r="E6" s="377" t="s">
        <v>37</v>
      </c>
      <c r="F6" s="374" t="s">
        <v>18</v>
      </c>
      <c r="G6" s="334"/>
      <c r="H6" s="334"/>
      <c r="I6" s="334"/>
      <c r="J6" s="334"/>
      <c r="K6" s="334"/>
    </row>
    <row r="7" spans="1:11" ht="34.5" customHeight="1" thickBot="1">
      <c r="A7" s="376"/>
      <c r="B7" s="793" t="s">
        <v>38</v>
      </c>
      <c r="C7" s="794"/>
      <c r="D7" s="785" t="s">
        <v>39</v>
      </c>
      <c r="E7" s="785"/>
      <c r="F7" s="786"/>
      <c r="G7" s="334"/>
      <c r="H7" s="334"/>
      <c r="I7" s="334"/>
      <c r="J7" s="334"/>
      <c r="K7" s="334"/>
    </row>
    <row r="8" spans="1:11" ht="28.5" customHeight="1" thickBot="1">
      <c r="A8" s="375"/>
      <c r="B8" s="787" t="s">
        <v>438</v>
      </c>
      <c r="C8" s="352" t="s">
        <v>439</v>
      </c>
      <c r="D8" s="378">
        <v>26.07</v>
      </c>
      <c r="E8" s="378">
        <v>4580000</v>
      </c>
      <c r="F8" s="379">
        <v>119400600</v>
      </c>
      <c r="G8" s="334"/>
      <c r="H8" s="334"/>
      <c r="I8" s="334"/>
      <c r="J8" s="334"/>
      <c r="K8" s="334"/>
    </row>
    <row r="9" spans="1:11" ht="32.25" thickBot="1">
      <c r="A9" s="387"/>
      <c r="B9" s="788"/>
      <c r="C9" s="352" t="s">
        <v>17</v>
      </c>
      <c r="D9" s="380"/>
      <c r="E9" s="380"/>
      <c r="F9" s="379"/>
      <c r="G9" s="334"/>
      <c r="H9" s="334"/>
      <c r="I9" s="334"/>
      <c r="J9" s="334"/>
      <c r="K9" s="334"/>
    </row>
    <row r="10" spans="1:11" ht="16.5" thickBot="1">
      <c r="A10" s="388"/>
      <c r="B10" s="789" t="s">
        <v>19</v>
      </c>
      <c r="C10" s="790"/>
      <c r="D10" s="380"/>
      <c r="E10" s="380"/>
      <c r="F10" s="379">
        <v>36781867</v>
      </c>
      <c r="G10" s="334"/>
      <c r="H10" s="334"/>
      <c r="I10" s="334"/>
      <c r="J10" s="334"/>
      <c r="K10" s="334"/>
    </row>
    <row r="11" spans="1:11" ht="16.5" thickBot="1">
      <c r="A11" s="388"/>
      <c r="B11" s="789" t="s">
        <v>440</v>
      </c>
      <c r="C11" s="790"/>
      <c r="D11" s="380"/>
      <c r="E11" s="380"/>
      <c r="F11" s="379">
        <v>17397420</v>
      </c>
      <c r="G11" s="334"/>
      <c r="H11" s="334"/>
      <c r="I11" s="334"/>
      <c r="J11" s="334"/>
      <c r="K11" s="334"/>
    </row>
    <row r="12" spans="1:11" ht="16.5" thickBot="1">
      <c r="A12" s="388" t="s">
        <v>22</v>
      </c>
      <c r="B12" s="777" t="s">
        <v>20</v>
      </c>
      <c r="C12" s="778"/>
      <c r="D12" s="381"/>
      <c r="E12" s="381"/>
      <c r="F12" s="382">
        <f>SUM(F8+F10-F11)</f>
        <v>138785047</v>
      </c>
      <c r="G12" s="334"/>
      <c r="H12" s="334"/>
      <c r="I12" s="334"/>
      <c r="J12" s="334"/>
      <c r="K12" s="334"/>
    </row>
    <row r="13" spans="1:11" ht="16.5" thickBot="1">
      <c r="A13" s="388" t="s">
        <v>23</v>
      </c>
      <c r="B13" s="777" t="s">
        <v>21</v>
      </c>
      <c r="C13" s="778"/>
      <c r="D13" s="381"/>
      <c r="E13" s="381"/>
      <c r="F13" s="383"/>
      <c r="G13" s="334"/>
      <c r="H13" s="334"/>
      <c r="I13" s="334"/>
      <c r="J13" s="334"/>
      <c r="K13" s="334"/>
    </row>
    <row r="14" spans="1:11" ht="16.5" thickBot="1">
      <c r="A14" s="388" t="s">
        <v>24</v>
      </c>
      <c r="B14" s="789" t="s">
        <v>441</v>
      </c>
      <c r="C14" s="790"/>
      <c r="D14" s="386">
        <v>7067</v>
      </c>
      <c r="E14" s="386">
        <v>2700</v>
      </c>
      <c r="F14" s="379">
        <v>19080900</v>
      </c>
      <c r="G14" s="334"/>
      <c r="H14" s="334"/>
      <c r="I14" s="334"/>
      <c r="J14" s="334"/>
      <c r="K14" s="334"/>
    </row>
    <row r="15" spans="1:11" ht="16.5" thickBot="1">
      <c r="A15" s="389" t="s">
        <v>460</v>
      </c>
      <c r="B15" s="800" t="s">
        <v>25</v>
      </c>
      <c r="C15" s="801"/>
      <c r="D15" s="384"/>
      <c r="E15" s="384"/>
      <c r="F15" s="385">
        <f>SUM(F12+F14)</f>
        <v>157865947</v>
      </c>
      <c r="G15" s="334"/>
      <c r="H15" s="334"/>
      <c r="I15" s="334"/>
      <c r="J15" s="334"/>
      <c r="K15" s="334"/>
    </row>
    <row r="16" spans="1:11" ht="17.25" thickBot="1" thickTop="1">
      <c r="A16" s="336"/>
      <c r="B16" s="344"/>
      <c r="C16" s="344"/>
      <c r="D16" s="344"/>
      <c r="E16" s="344"/>
      <c r="F16" s="184"/>
      <c r="G16" s="184"/>
      <c r="H16" s="334"/>
      <c r="I16" s="334"/>
      <c r="J16" s="334"/>
      <c r="K16" s="334"/>
    </row>
    <row r="17" spans="1:11" ht="34.5" customHeight="1" thickBot="1" thickTop="1">
      <c r="A17" s="373" t="s">
        <v>294</v>
      </c>
      <c r="B17" s="804" t="s">
        <v>41</v>
      </c>
      <c r="C17" s="805"/>
      <c r="D17" s="391"/>
      <c r="E17" s="377"/>
      <c r="F17" s="390" t="s">
        <v>18</v>
      </c>
      <c r="G17" s="339"/>
      <c r="H17" s="334"/>
      <c r="I17" s="334"/>
      <c r="J17" s="334"/>
      <c r="K17" s="334"/>
    </row>
    <row r="18" spans="1:7" ht="16.5" thickBot="1">
      <c r="A18" s="398" t="s">
        <v>27</v>
      </c>
      <c r="B18" s="330" t="s">
        <v>447</v>
      </c>
      <c r="C18" s="337" t="s">
        <v>28</v>
      </c>
      <c r="D18" s="392">
        <v>21</v>
      </c>
      <c r="E18" s="396">
        <v>2832000</v>
      </c>
      <c r="F18" s="340">
        <v>39648000</v>
      </c>
      <c r="G18" s="334"/>
    </row>
    <row r="19" spans="1:7" ht="16.5" thickBot="1">
      <c r="A19" s="388" t="s">
        <v>29</v>
      </c>
      <c r="B19" s="335" t="s">
        <v>448</v>
      </c>
      <c r="C19" s="337" t="s">
        <v>28</v>
      </c>
      <c r="D19" s="393">
        <v>10</v>
      </c>
      <c r="E19" s="378">
        <v>1632000</v>
      </c>
      <c r="F19" s="341">
        <v>10880000</v>
      </c>
      <c r="G19" s="371"/>
    </row>
    <row r="20" spans="1:7" ht="16.5" thickBot="1">
      <c r="A20" s="342" t="s">
        <v>27</v>
      </c>
      <c r="B20" s="335" t="s">
        <v>446</v>
      </c>
      <c r="C20" s="337" t="s">
        <v>30</v>
      </c>
      <c r="D20" s="393">
        <v>20</v>
      </c>
      <c r="E20" s="378">
        <v>2832000</v>
      </c>
      <c r="F20" s="341">
        <v>18880000</v>
      </c>
      <c r="G20" s="334"/>
    </row>
    <row r="21" spans="1:7" ht="16.5" thickBot="1">
      <c r="A21" s="399" t="s">
        <v>31</v>
      </c>
      <c r="B21" s="335" t="s">
        <v>449</v>
      </c>
      <c r="C21" s="337" t="s">
        <v>30</v>
      </c>
      <c r="D21" s="393">
        <v>18</v>
      </c>
      <c r="E21" s="378">
        <v>1632000</v>
      </c>
      <c r="F21" s="341">
        <v>9792000</v>
      </c>
      <c r="G21" s="334"/>
    </row>
    <row r="22" spans="1:7" ht="16.5" thickBot="1">
      <c r="A22" s="342" t="s">
        <v>32</v>
      </c>
      <c r="B22" s="335" t="s">
        <v>450</v>
      </c>
      <c r="C22" s="337" t="s">
        <v>28</v>
      </c>
      <c r="D22" s="393">
        <v>245</v>
      </c>
      <c r="E22" s="378">
        <v>54000</v>
      </c>
      <c r="F22" s="341">
        <v>8820000</v>
      </c>
      <c r="G22" s="371"/>
    </row>
    <row r="23" spans="1:7" ht="16.5" thickBot="1">
      <c r="A23" s="400" t="s">
        <v>32</v>
      </c>
      <c r="B23" s="335" t="s">
        <v>451</v>
      </c>
      <c r="C23" s="337" t="s">
        <v>30</v>
      </c>
      <c r="D23" s="393">
        <v>223</v>
      </c>
      <c r="E23" s="378">
        <v>54000</v>
      </c>
      <c r="F23" s="341">
        <v>4014000</v>
      </c>
      <c r="G23" s="334"/>
    </row>
    <row r="24" spans="1:7" ht="16.5" customHeight="1" thickBot="1">
      <c r="A24" s="388" t="s">
        <v>33</v>
      </c>
      <c r="B24" s="780" t="s">
        <v>452</v>
      </c>
      <c r="C24" s="780"/>
      <c r="D24" s="394">
        <v>482</v>
      </c>
      <c r="E24" s="380">
        <v>102000</v>
      </c>
      <c r="F24" s="341">
        <v>49164000</v>
      </c>
      <c r="G24" s="334"/>
    </row>
    <row r="25" spans="1:7" ht="16.5" customHeight="1" thickBot="1">
      <c r="A25" s="401" t="s">
        <v>461</v>
      </c>
      <c r="B25" s="806" t="s">
        <v>442</v>
      </c>
      <c r="C25" s="806"/>
      <c r="D25" s="395"/>
      <c r="E25" s="397"/>
      <c r="F25" s="343">
        <f>SUM(F18:F24)</f>
        <v>141198000</v>
      </c>
      <c r="G25" s="334"/>
    </row>
    <row r="26" spans="1:11" ht="16.5" thickBot="1" thickTop="1">
      <c r="A26" s="320"/>
      <c r="B26" s="320"/>
      <c r="C26" s="320"/>
      <c r="D26" s="320"/>
      <c r="E26" s="320"/>
      <c r="F26" s="320"/>
      <c r="G26" s="320"/>
      <c r="H26" s="334"/>
      <c r="I26" s="334"/>
      <c r="J26" s="334"/>
      <c r="K26" s="334"/>
    </row>
    <row r="27" spans="1:10" s="170" customFormat="1" ht="17.25" thickBot="1" thickTop="1">
      <c r="A27" s="408"/>
      <c r="B27" s="783" t="s">
        <v>458</v>
      </c>
      <c r="C27" s="784"/>
      <c r="D27" s="431"/>
      <c r="E27" s="431"/>
      <c r="F27" s="346">
        <v>229733000</v>
      </c>
      <c r="G27" s="334"/>
      <c r="H27" s="334"/>
      <c r="I27" s="334"/>
      <c r="J27" s="334"/>
    </row>
    <row r="28" spans="1:10" ht="16.5" thickBot="1">
      <c r="A28" s="402" t="s">
        <v>34</v>
      </c>
      <c r="B28" s="791" t="s">
        <v>453</v>
      </c>
      <c r="C28" s="792"/>
      <c r="D28" s="404"/>
      <c r="E28" s="404"/>
      <c r="F28" s="347">
        <v>65840387</v>
      </c>
      <c r="G28" s="334"/>
      <c r="H28" s="334"/>
      <c r="I28" s="334"/>
      <c r="J28" s="334"/>
    </row>
    <row r="29" spans="1:10" ht="16.5" thickBot="1">
      <c r="A29" s="402" t="s">
        <v>35</v>
      </c>
      <c r="B29" s="779" t="s">
        <v>454</v>
      </c>
      <c r="C29" s="780" t="s">
        <v>301</v>
      </c>
      <c r="D29" s="406"/>
      <c r="E29" s="406"/>
      <c r="F29" s="407">
        <v>17572380</v>
      </c>
      <c r="G29" s="334"/>
      <c r="H29" s="334"/>
      <c r="I29" s="334"/>
      <c r="J29" s="334"/>
    </row>
    <row r="30" spans="1:10" ht="16.5" thickBot="1">
      <c r="A30" s="402"/>
      <c r="B30" s="779" t="s">
        <v>443</v>
      </c>
      <c r="C30" s="780"/>
      <c r="D30" s="404"/>
      <c r="E30" s="404"/>
      <c r="F30" s="347">
        <f>SUM(F29)</f>
        <v>17572380</v>
      </c>
      <c r="G30" s="334"/>
      <c r="H30" s="334"/>
      <c r="I30" s="334"/>
      <c r="J30" s="334"/>
    </row>
    <row r="31" spans="1:10" ht="16.5" thickBot="1">
      <c r="A31" s="403" t="s">
        <v>462</v>
      </c>
      <c r="B31" s="781" t="s">
        <v>444</v>
      </c>
      <c r="C31" s="782"/>
      <c r="D31" s="405"/>
      <c r="E31" s="405"/>
      <c r="F31" s="348">
        <f>SUM(F27+F28+F30)</f>
        <v>313145767</v>
      </c>
      <c r="G31" s="334"/>
      <c r="H31" s="334"/>
      <c r="I31" s="334"/>
      <c r="J31" s="334"/>
    </row>
    <row r="32" spans="1:10" ht="17.25" thickBot="1" thickTop="1">
      <c r="A32" s="345"/>
      <c r="B32" s="349"/>
      <c r="C32" s="349"/>
      <c r="D32" s="349"/>
      <c r="E32" s="349"/>
      <c r="F32" s="350"/>
      <c r="G32" s="339"/>
      <c r="H32" s="334"/>
      <c r="I32" s="334"/>
      <c r="J32" s="334"/>
    </row>
    <row r="33" spans="1:10" ht="17.25" thickBot="1" thickTop="1">
      <c r="A33" s="351"/>
      <c r="B33" s="802" t="s">
        <v>445</v>
      </c>
      <c r="C33" s="803"/>
      <c r="D33" s="797">
        <f>SUM(F15+F25+F31)</f>
        <v>612209714</v>
      </c>
      <c r="E33" s="798"/>
      <c r="F33" s="799"/>
      <c r="G33" s="334"/>
      <c r="H33" s="334"/>
      <c r="I33" s="334"/>
      <c r="J33" s="334"/>
    </row>
    <row r="34" spans="1:11" ht="16.5" thickBot="1" thickTop="1">
      <c r="A34" s="338"/>
      <c r="B34" s="320"/>
      <c r="C34" s="320"/>
      <c r="D34" s="320"/>
      <c r="E34" s="320"/>
      <c r="F34" s="320"/>
      <c r="G34" s="320"/>
      <c r="H34" s="334"/>
      <c r="I34" s="334"/>
      <c r="J34" s="334"/>
      <c r="K34" s="334"/>
    </row>
    <row r="35" spans="1:10" ht="17.25" thickBot="1" thickTop="1">
      <c r="A35" s="408"/>
      <c r="B35" s="783" t="s">
        <v>455</v>
      </c>
      <c r="C35" s="784"/>
      <c r="D35" s="410">
        <v>7067</v>
      </c>
      <c r="E35" s="410">
        <v>1140</v>
      </c>
      <c r="F35" s="346">
        <v>8056380</v>
      </c>
      <c r="G35" s="334"/>
      <c r="H35" s="334"/>
      <c r="I35" s="334"/>
      <c r="J35" s="334"/>
    </row>
    <row r="36" spans="1:10" ht="16.5" customHeight="1" thickBot="1">
      <c r="A36" s="402" t="s">
        <v>456</v>
      </c>
      <c r="B36" s="353" t="s">
        <v>457</v>
      </c>
      <c r="C36" s="409"/>
      <c r="D36" s="411"/>
      <c r="E36" s="411"/>
      <c r="F36" s="354">
        <f>SUM(F35)</f>
        <v>8056380</v>
      </c>
      <c r="G36" s="334"/>
      <c r="H36" s="334"/>
      <c r="I36" s="334"/>
      <c r="J36" s="334"/>
    </row>
    <row r="37" spans="1:10" ht="16.5" thickBot="1">
      <c r="A37" s="355" t="s">
        <v>463</v>
      </c>
      <c r="B37" s="781" t="s">
        <v>464</v>
      </c>
      <c r="C37" s="782"/>
      <c r="D37" s="412"/>
      <c r="E37" s="412"/>
      <c r="F37" s="356">
        <f>SUM(F35)</f>
        <v>8056380</v>
      </c>
      <c r="G37" s="334"/>
      <c r="H37" s="334"/>
      <c r="I37" s="334"/>
      <c r="J37" s="334"/>
    </row>
    <row r="38" spans="1:11" ht="16.5" thickBot="1" thickTop="1">
      <c r="A38" s="338"/>
      <c r="B38" s="320"/>
      <c r="C38" s="320"/>
      <c r="D38" s="320"/>
      <c r="E38" s="320"/>
      <c r="F38" s="320"/>
      <c r="G38" s="320"/>
      <c r="H38" s="334"/>
      <c r="I38" s="334"/>
      <c r="J38" s="334"/>
      <c r="K38" s="334"/>
    </row>
    <row r="39" spans="1:10" ht="33" customHeight="1" thickBot="1" thickTop="1">
      <c r="A39" s="351"/>
      <c r="B39" s="802" t="s">
        <v>459</v>
      </c>
      <c r="C39" s="803"/>
      <c r="D39" s="797">
        <f>SUM(D33+F37)</f>
        <v>620266094</v>
      </c>
      <c r="E39" s="798"/>
      <c r="F39" s="799"/>
      <c r="G39" s="334"/>
      <c r="H39" s="334"/>
      <c r="I39" s="334"/>
      <c r="J39" s="334"/>
    </row>
    <row r="40" spans="1:11" ht="15.75" thickTop="1">
      <c r="A40" s="338"/>
      <c r="B40" s="320"/>
      <c r="C40" s="320"/>
      <c r="D40" s="320"/>
      <c r="E40" s="320"/>
      <c r="F40" s="320"/>
      <c r="G40" s="320"/>
      <c r="H40" s="334"/>
      <c r="I40" s="334"/>
      <c r="J40" s="334"/>
      <c r="K40" s="334"/>
    </row>
    <row r="41" spans="1:11" ht="15">
      <c r="A41" s="338"/>
      <c r="B41" s="320"/>
      <c r="C41" s="320"/>
      <c r="D41" s="320"/>
      <c r="E41" s="320"/>
      <c r="F41" s="320"/>
      <c r="G41" s="320"/>
      <c r="H41" s="334"/>
      <c r="I41" s="334"/>
      <c r="J41" s="334"/>
      <c r="K41" s="334"/>
    </row>
    <row r="42" spans="1:11" ht="15">
      <c r="A42" s="338"/>
      <c r="B42" s="320"/>
      <c r="C42" s="320"/>
      <c r="D42" s="320"/>
      <c r="E42" s="320"/>
      <c r="F42" s="320"/>
      <c r="G42" s="320"/>
      <c r="H42" s="334"/>
      <c r="I42" s="334"/>
      <c r="J42" s="334"/>
      <c r="K42" s="334"/>
    </row>
    <row r="43" spans="1:11" ht="15">
      <c r="A43" s="338"/>
      <c r="B43" s="320"/>
      <c r="C43" s="320"/>
      <c r="D43" s="320"/>
      <c r="E43" s="320"/>
      <c r="F43" s="320"/>
      <c r="G43" s="320"/>
      <c r="H43" s="334"/>
      <c r="I43" s="334"/>
      <c r="J43" s="334"/>
      <c r="K43" s="334"/>
    </row>
    <row r="44" spans="1:11" ht="15">
      <c r="A44" s="338"/>
      <c r="B44" s="320"/>
      <c r="C44" s="320"/>
      <c r="D44" s="320"/>
      <c r="E44" s="320"/>
      <c r="F44" s="320"/>
      <c r="G44" s="320"/>
      <c r="H44" s="334"/>
      <c r="I44" s="334"/>
      <c r="J44" s="334"/>
      <c r="K44" s="334"/>
    </row>
    <row r="45" spans="1:11" ht="15">
      <c r="A45" s="338"/>
      <c r="B45" s="320"/>
      <c r="C45" s="320"/>
      <c r="D45" s="320"/>
      <c r="E45" s="320"/>
      <c r="F45" s="320"/>
      <c r="G45" s="320"/>
      <c r="H45" s="334"/>
      <c r="I45" s="334"/>
      <c r="J45" s="334"/>
      <c r="K45" s="334"/>
    </row>
    <row r="46" spans="1:11" ht="15">
      <c r="A46" s="338"/>
      <c r="B46" s="320"/>
      <c r="C46" s="320"/>
      <c r="D46" s="320"/>
      <c r="E46" s="320"/>
      <c r="F46" s="320"/>
      <c r="G46" s="320"/>
      <c r="H46" s="334"/>
      <c r="I46" s="334"/>
      <c r="J46" s="334"/>
      <c r="K46" s="334"/>
    </row>
    <row r="47" spans="1:11" ht="15">
      <c r="A47" s="338"/>
      <c r="B47" s="320"/>
      <c r="C47" s="320"/>
      <c r="D47" s="320"/>
      <c r="E47" s="320"/>
      <c r="F47" s="320"/>
      <c r="G47" s="320"/>
      <c r="H47" s="334"/>
      <c r="I47" s="334"/>
      <c r="J47" s="334"/>
      <c r="K47" s="334"/>
    </row>
    <row r="48" spans="1:11" ht="15">
      <c r="A48" s="338"/>
      <c r="B48" s="320"/>
      <c r="C48" s="320"/>
      <c r="D48" s="320"/>
      <c r="E48" s="320"/>
      <c r="F48" s="320"/>
      <c r="G48" s="320"/>
      <c r="H48" s="334"/>
      <c r="I48" s="334"/>
      <c r="J48" s="334"/>
      <c r="K48" s="334"/>
    </row>
    <row r="49" spans="1:11" ht="15">
      <c r="A49" s="338"/>
      <c r="B49" s="320"/>
      <c r="C49" s="320"/>
      <c r="D49" s="320"/>
      <c r="E49" s="320"/>
      <c r="F49" s="320"/>
      <c r="G49" s="320"/>
      <c r="H49" s="334"/>
      <c r="I49" s="334"/>
      <c r="J49" s="334"/>
      <c r="K49" s="334"/>
    </row>
    <row r="50" spans="1:11" ht="15">
      <c r="A50" s="338"/>
      <c r="B50" s="320"/>
      <c r="C50" s="320"/>
      <c r="D50" s="320"/>
      <c r="E50" s="320"/>
      <c r="F50" s="320"/>
      <c r="G50" s="320"/>
      <c r="H50" s="334"/>
      <c r="I50" s="334"/>
      <c r="J50" s="334"/>
      <c r="K50" s="334"/>
    </row>
    <row r="51" spans="1:11" ht="15">
      <c r="A51" s="338"/>
      <c r="B51" s="320"/>
      <c r="C51" s="320"/>
      <c r="D51" s="320"/>
      <c r="E51" s="320"/>
      <c r="F51" s="320"/>
      <c r="G51" s="320"/>
      <c r="H51" s="334"/>
      <c r="I51" s="334"/>
      <c r="J51" s="334"/>
      <c r="K51" s="334"/>
    </row>
    <row r="52" spans="1:11" ht="15">
      <c r="A52" s="338"/>
      <c r="B52" s="320"/>
      <c r="C52" s="320"/>
      <c r="D52" s="320"/>
      <c r="E52" s="320"/>
      <c r="F52" s="320"/>
      <c r="G52" s="320"/>
      <c r="H52" s="334"/>
      <c r="I52" s="334"/>
      <c r="J52" s="334"/>
      <c r="K52" s="334"/>
    </row>
    <row r="53" spans="1:11" ht="15">
      <c r="A53" s="338"/>
      <c r="B53" s="320"/>
      <c r="C53" s="320"/>
      <c r="D53" s="320"/>
      <c r="E53" s="320"/>
      <c r="F53" s="320"/>
      <c r="G53" s="320"/>
      <c r="H53" s="334"/>
      <c r="I53" s="334"/>
      <c r="J53" s="334"/>
      <c r="K53" s="334"/>
    </row>
    <row r="54" spans="1:11" ht="15">
      <c r="A54" s="338"/>
      <c r="B54" s="320"/>
      <c r="C54" s="320"/>
      <c r="D54" s="320"/>
      <c r="E54" s="320"/>
      <c r="F54" s="320"/>
      <c r="G54" s="320"/>
      <c r="H54" s="334"/>
      <c r="I54" s="334"/>
      <c r="J54" s="334"/>
      <c r="K54" s="334"/>
    </row>
    <row r="55" spans="1:11" ht="15">
      <c r="A55" s="338"/>
      <c r="B55" s="320"/>
      <c r="C55" s="320"/>
      <c r="D55" s="320"/>
      <c r="E55" s="320"/>
      <c r="F55" s="320"/>
      <c r="G55" s="320"/>
      <c r="H55" s="334"/>
      <c r="I55" s="334"/>
      <c r="J55" s="334"/>
      <c r="K55" s="334"/>
    </row>
    <row r="56" spans="1:11" ht="15">
      <c r="A56" s="338"/>
      <c r="B56" s="320"/>
      <c r="C56" s="320"/>
      <c r="D56" s="320"/>
      <c r="E56" s="320"/>
      <c r="F56" s="320"/>
      <c r="G56" s="320"/>
      <c r="H56" s="334"/>
      <c r="I56" s="334"/>
      <c r="J56" s="334"/>
      <c r="K56" s="334"/>
    </row>
    <row r="57" spans="1:11" ht="15">
      <c r="A57" s="338"/>
      <c r="B57" s="320"/>
      <c r="C57" s="320"/>
      <c r="D57" s="320"/>
      <c r="E57" s="320"/>
      <c r="F57" s="320"/>
      <c r="G57" s="320"/>
      <c r="H57" s="334"/>
      <c r="I57" s="334"/>
      <c r="J57" s="334"/>
      <c r="K57" s="334"/>
    </row>
    <row r="58" spans="1:11" ht="15">
      <c r="A58" s="338"/>
      <c r="B58" s="320"/>
      <c r="C58" s="320"/>
      <c r="D58" s="320"/>
      <c r="E58" s="320"/>
      <c r="F58" s="320"/>
      <c r="G58" s="320"/>
      <c r="H58" s="334"/>
      <c r="I58" s="334"/>
      <c r="J58" s="334"/>
      <c r="K58" s="334"/>
    </row>
    <row r="59" spans="1:11" ht="15">
      <c r="A59" s="338"/>
      <c r="B59" s="320"/>
      <c r="C59" s="320"/>
      <c r="D59" s="320"/>
      <c r="E59" s="320"/>
      <c r="F59" s="320"/>
      <c r="G59" s="320"/>
      <c r="H59" s="334"/>
      <c r="I59" s="334"/>
      <c r="J59" s="334"/>
      <c r="K59" s="334"/>
    </row>
    <row r="60" spans="1:11" ht="15">
      <c r="A60" s="338"/>
      <c r="B60" s="320"/>
      <c r="C60" s="320"/>
      <c r="D60" s="320"/>
      <c r="E60" s="320"/>
      <c r="F60" s="320"/>
      <c r="G60" s="320"/>
      <c r="H60" s="334"/>
      <c r="I60" s="334"/>
      <c r="J60" s="334"/>
      <c r="K60" s="334"/>
    </row>
    <row r="61" spans="1:11" ht="15">
      <c r="A61" s="338"/>
      <c r="B61" s="320"/>
      <c r="C61" s="320"/>
      <c r="D61" s="320"/>
      <c r="E61" s="320"/>
      <c r="F61" s="320"/>
      <c r="G61" s="320"/>
      <c r="H61" s="334"/>
      <c r="I61" s="334"/>
      <c r="J61" s="334"/>
      <c r="K61" s="334"/>
    </row>
    <row r="62" spans="1:11" ht="15">
      <c r="A62" s="338"/>
      <c r="B62" s="320"/>
      <c r="C62" s="320"/>
      <c r="D62" s="320"/>
      <c r="E62" s="320"/>
      <c r="F62" s="320"/>
      <c r="G62" s="320"/>
      <c r="H62" s="334"/>
      <c r="I62" s="334"/>
      <c r="J62" s="334"/>
      <c r="K62" s="334"/>
    </row>
    <row r="63" spans="1:11" ht="15">
      <c r="A63" s="338"/>
      <c r="B63" s="320"/>
      <c r="C63" s="320"/>
      <c r="D63" s="320"/>
      <c r="E63" s="320"/>
      <c r="F63" s="320"/>
      <c r="G63" s="320"/>
      <c r="H63" s="334"/>
      <c r="I63" s="334"/>
      <c r="J63" s="334"/>
      <c r="K63" s="334"/>
    </row>
    <row r="64" spans="1:11" ht="15">
      <c r="A64" s="338"/>
      <c r="B64" s="320"/>
      <c r="C64" s="320"/>
      <c r="D64" s="320"/>
      <c r="E64" s="320"/>
      <c r="F64" s="320"/>
      <c r="G64" s="320"/>
      <c r="H64" s="334"/>
      <c r="I64" s="334"/>
      <c r="J64" s="334"/>
      <c r="K64" s="334"/>
    </row>
    <row r="65" spans="1:11" ht="15">
      <c r="A65" s="338"/>
      <c r="B65" s="320"/>
      <c r="C65" s="320"/>
      <c r="D65" s="320"/>
      <c r="E65" s="320"/>
      <c r="F65" s="320"/>
      <c r="G65" s="320"/>
      <c r="H65" s="334"/>
      <c r="I65" s="334"/>
      <c r="J65" s="334"/>
      <c r="K65" s="334"/>
    </row>
    <row r="66" spans="1:11" ht="15">
      <c r="A66" s="338"/>
      <c r="B66" s="320"/>
      <c r="C66" s="320"/>
      <c r="D66" s="320"/>
      <c r="E66" s="320"/>
      <c r="F66" s="320"/>
      <c r="G66" s="320"/>
      <c r="H66" s="334"/>
      <c r="I66" s="334"/>
      <c r="J66" s="334"/>
      <c r="K66" s="334"/>
    </row>
    <row r="67" spans="1:11" ht="15">
      <c r="A67" s="338"/>
      <c r="B67" s="320"/>
      <c r="C67" s="320"/>
      <c r="D67" s="320"/>
      <c r="E67" s="320"/>
      <c r="F67" s="320"/>
      <c r="G67" s="320"/>
      <c r="H67" s="334"/>
      <c r="I67" s="334"/>
      <c r="J67" s="334"/>
      <c r="K67" s="334"/>
    </row>
    <row r="68" spans="1:11" ht="15">
      <c r="A68" s="338"/>
      <c r="B68" s="320"/>
      <c r="C68" s="320"/>
      <c r="D68" s="320"/>
      <c r="E68" s="320"/>
      <c r="F68" s="320"/>
      <c r="G68" s="320"/>
      <c r="H68" s="334"/>
      <c r="I68" s="334"/>
      <c r="J68" s="334"/>
      <c r="K68" s="334"/>
    </row>
    <row r="69" spans="1:11" ht="15">
      <c r="A69" s="338"/>
      <c r="B69" s="320"/>
      <c r="C69" s="320"/>
      <c r="D69" s="320"/>
      <c r="E69" s="320"/>
      <c r="F69" s="320"/>
      <c r="G69" s="320"/>
      <c r="H69" s="334"/>
      <c r="I69" s="334"/>
      <c r="J69" s="334"/>
      <c r="K69" s="334"/>
    </row>
    <row r="70" spans="1:11" ht="15">
      <c r="A70" s="338"/>
      <c r="B70" s="320"/>
      <c r="C70" s="320"/>
      <c r="D70" s="320"/>
      <c r="E70" s="320"/>
      <c r="F70" s="320"/>
      <c r="G70" s="320"/>
      <c r="H70" s="334"/>
      <c r="I70" s="334"/>
      <c r="J70" s="334"/>
      <c r="K70" s="334"/>
    </row>
    <row r="71" spans="1:11" ht="15">
      <c r="A71" s="338"/>
      <c r="B71" s="320"/>
      <c r="C71" s="320"/>
      <c r="D71" s="320"/>
      <c r="E71" s="320"/>
      <c r="F71" s="320"/>
      <c r="G71" s="320"/>
      <c r="H71" s="334"/>
      <c r="I71" s="334"/>
      <c r="J71" s="334"/>
      <c r="K71" s="334"/>
    </row>
    <row r="72" spans="1:11" ht="15">
      <c r="A72" s="338"/>
      <c r="B72" s="320"/>
      <c r="C72" s="320"/>
      <c r="D72" s="320"/>
      <c r="E72" s="320"/>
      <c r="F72" s="320"/>
      <c r="G72" s="320"/>
      <c r="H72" s="334"/>
      <c r="I72" s="334"/>
      <c r="J72" s="334"/>
      <c r="K72" s="334"/>
    </row>
    <row r="73" spans="1:11" ht="15">
      <c r="A73" s="338"/>
      <c r="B73" s="320"/>
      <c r="C73" s="320"/>
      <c r="D73" s="320"/>
      <c r="E73" s="320"/>
      <c r="F73" s="320"/>
      <c r="G73" s="320"/>
      <c r="H73" s="334"/>
      <c r="I73" s="334"/>
      <c r="J73" s="334"/>
      <c r="K73" s="334"/>
    </row>
    <row r="74" spans="1:11" ht="15">
      <c r="A74" s="338"/>
      <c r="B74" s="320"/>
      <c r="C74" s="320"/>
      <c r="D74" s="320"/>
      <c r="E74" s="320"/>
      <c r="F74" s="320"/>
      <c r="G74" s="320"/>
      <c r="H74" s="334"/>
      <c r="I74" s="334"/>
      <c r="J74" s="334"/>
      <c r="K74" s="334"/>
    </row>
    <row r="75" spans="1:11" ht="15">
      <c r="A75" s="338"/>
      <c r="B75" s="320"/>
      <c r="C75" s="320"/>
      <c r="D75" s="320"/>
      <c r="E75" s="320"/>
      <c r="F75" s="320"/>
      <c r="G75" s="320"/>
      <c r="H75" s="334"/>
      <c r="I75" s="334"/>
      <c r="J75" s="334"/>
      <c r="K75" s="334"/>
    </row>
    <row r="76" spans="1:11" ht="15">
      <c r="A76" s="320"/>
      <c r="B76" s="320"/>
      <c r="C76" s="320"/>
      <c r="D76" s="320"/>
      <c r="E76" s="320"/>
      <c r="F76" s="320"/>
      <c r="G76" s="320"/>
      <c r="H76" s="334"/>
      <c r="I76" s="334"/>
      <c r="J76" s="334"/>
      <c r="K76" s="334"/>
    </row>
    <row r="77" spans="1:11" ht="15">
      <c r="A77" s="320"/>
      <c r="B77" s="320"/>
      <c r="C77" s="320"/>
      <c r="D77" s="320"/>
      <c r="E77" s="320"/>
      <c r="F77" s="320"/>
      <c r="G77" s="320"/>
      <c r="H77" s="334"/>
      <c r="I77" s="334"/>
      <c r="J77" s="334"/>
      <c r="K77" s="334"/>
    </row>
    <row r="78" spans="1:11" ht="15">
      <c r="A78" s="320"/>
      <c r="B78" s="320"/>
      <c r="C78" s="320"/>
      <c r="D78" s="320"/>
      <c r="E78" s="320"/>
      <c r="F78" s="320"/>
      <c r="G78" s="320"/>
      <c r="H78" s="334"/>
      <c r="I78" s="334"/>
      <c r="J78" s="334"/>
      <c r="K78" s="334"/>
    </row>
    <row r="79" spans="1:11" ht="15">
      <c r="A79" s="320"/>
      <c r="B79" s="320"/>
      <c r="C79" s="320"/>
      <c r="D79" s="320"/>
      <c r="E79" s="320"/>
      <c r="F79" s="320"/>
      <c r="G79" s="320"/>
      <c r="H79" s="334"/>
      <c r="I79" s="334"/>
      <c r="J79" s="334"/>
      <c r="K79" s="334"/>
    </row>
    <row r="80" spans="1:11" ht="15">
      <c r="A80" s="320"/>
      <c r="B80" s="320"/>
      <c r="C80" s="320"/>
      <c r="D80" s="320"/>
      <c r="E80" s="320"/>
      <c r="F80" s="320"/>
      <c r="G80" s="320"/>
      <c r="H80" s="334"/>
      <c r="I80" s="334"/>
      <c r="J80" s="334"/>
      <c r="K80" s="334"/>
    </row>
    <row r="81" spans="1:11" ht="15">
      <c r="A81" s="320"/>
      <c r="B81" s="320"/>
      <c r="C81" s="320"/>
      <c r="D81" s="320"/>
      <c r="E81" s="320"/>
      <c r="F81" s="320"/>
      <c r="G81" s="320"/>
      <c r="H81" s="334"/>
      <c r="I81" s="334"/>
      <c r="J81" s="334"/>
      <c r="K81" s="334"/>
    </row>
    <row r="82" spans="1:11" ht="15">
      <c r="A82" s="320"/>
      <c r="B82" s="320"/>
      <c r="C82" s="320"/>
      <c r="D82" s="320"/>
      <c r="E82" s="320"/>
      <c r="F82" s="320"/>
      <c r="G82" s="320"/>
      <c r="H82" s="334"/>
      <c r="I82" s="334"/>
      <c r="J82" s="334"/>
      <c r="K82" s="334"/>
    </row>
    <row r="83" spans="1:11" ht="15">
      <c r="A83" s="320"/>
      <c r="B83" s="320"/>
      <c r="C83" s="320"/>
      <c r="D83" s="320"/>
      <c r="E83" s="320"/>
      <c r="F83" s="320"/>
      <c r="G83" s="320"/>
      <c r="H83" s="334"/>
      <c r="I83" s="334"/>
      <c r="J83" s="334"/>
      <c r="K83" s="334"/>
    </row>
    <row r="84" spans="1:11" ht="15">
      <c r="A84" s="320"/>
      <c r="B84" s="320"/>
      <c r="C84" s="320"/>
      <c r="D84" s="320"/>
      <c r="E84" s="320"/>
      <c r="F84" s="320"/>
      <c r="G84" s="320"/>
      <c r="H84" s="334"/>
      <c r="I84" s="334"/>
      <c r="J84" s="334"/>
      <c r="K84" s="334"/>
    </row>
    <row r="85" spans="1:11" ht="15">
      <c r="A85" s="320"/>
      <c r="B85" s="320"/>
      <c r="C85" s="320"/>
      <c r="D85" s="320"/>
      <c r="E85" s="320"/>
      <c r="F85" s="320"/>
      <c r="G85" s="320"/>
      <c r="H85" s="334"/>
      <c r="I85" s="334"/>
      <c r="J85" s="334"/>
      <c r="K85" s="334"/>
    </row>
    <row r="86" spans="1:11" ht="15">
      <c r="A86" s="320"/>
      <c r="B86" s="320"/>
      <c r="C86" s="320"/>
      <c r="D86" s="320"/>
      <c r="E86" s="320"/>
      <c r="F86" s="320"/>
      <c r="G86" s="320"/>
      <c r="H86" s="334"/>
      <c r="I86" s="334"/>
      <c r="J86" s="334"/>
      <c r="K86" s="334"/>
    </row>
    <row r="87" spans="1:11" ht="15">
      <c r="A87" s="320"/>
      <c r="B87" s="320"/>
      <c r="C87" s="320"/>
      <c r="D87" s="320"/>
      <c r="E87" s="320"/>
      <c r="F87" s="320"/>
      <c r="G87" s="320"/>
      <c r="H87" s="334"/>
      <c r="I87" s="334"/>
      <c r="J87" s="334"/>
      <c r="K87" s="334"/>
    </row>
    <row r="88" spans="1:11" ht="15">
      <c r="A88" s="320"/>
      <c r="B88" s="320"/>
      <c r="C88" s="320"/>
      <c r="D88" s="320"/>
      <c r="E88" s="320"/>
      <c r="F88" s="320"/>
      <c r="G88" s="320"/>
      <c r="H88" s="334"/>
      <c r="I88" s="334"/>
      <c r="J88" s="334"/>
      <c r="K88" s="334"/>
    </row>
    <row r="89" spans="1:11" ht="15">
      <c r="A89" s="320"/>
      <c r="B89" s="320"/>
      <c r="C89" s="320"/>
      <c r="D89" s="320"/>
      <c r="E89" s="320"/>
      <c r="F89" s="320"/>
      <c r="G89" s="320"/>
      <c r="H89" s="334"/>
      <c r="I89" s="334"/>
      <c r="J89" s="334"/>
      <c r="K89" s="334"/>
    </row>
    <row r="90" spans="1:11" ht="15">
      <c r="A90" s="320"/>
      <c r="B90" s="320"/>
      <c r="C90" s="320"/>
      <c r="D90" s="320"/>
      <c r="E90" s="320"/>
      <c r="F90" s="320"/>
      <c r="G90" s="320"/>
      <c r="H90" s="334"/>
      <c r="I90" s="334"/>
      <c r="J90" s="334"/>
      <c r="K90" s="334"/>
    </row>
    <row r="91" spans="1:11" ht="15">
      <c r="A91" s="320"/>
      <c r="B91" s="320"/>
      <c r="C91" s="320"/>
      <c r="D91" s="320"/>
      <c r="E91" s="320"/>
      <c r="F91" s="320"/>
      <c r="G91" s="320"/>
      <c r="H91" s="334"/>
      <c r="I91" s="334"/>
      <c r="J91" s="334"/>
      <c r="K91" s="334"/>
    </row>
    <row r="92" spans="1:11" ht="15">
      <c r="A92" s="320"/>
      <c r="B92" s="320"/>
      <c r="C92" s="320"/>
      <c r="D92" s="320"/>
      <c r="E92" s="320"/>
      <c r="F92" s="320"/>
      <c r="G92" s="320"/>
      <c r="H92" s="334"/>
      <c r="I92" s="334"/>
      <c r="J92" s="334"/>
      <c r="K92" s="334"/>
    </row>
    <row r="93" spans="1:11" ht="15">
      <c r="A93" s="320"/>
      <c r="B93" s="320"/>
      <c r="C93" s="320"/>
      <c r="D93" s="320"/>
      <c r="E93" s="320"/>
      <c r="F93" s="320"/>
      <c r="G93" s="320"/>
      <c r="H93" s="334"/>
      <c r="I93" s="334"/>
      <c r="J93" s="334"/>
      <c r="K93" s="334"/>
    </row>
    <row r="94" spans="1:11" ht="15">
      <c r="A94" s="320"/>
      <c r="B94" s="320"/>
      <c r="C94" s="320"/>
      <c r="D94" s="320"/>
      <c r="E94" s="320"/>
      <c r="F94" s="320"/>
      <c r="G94" s="320"/>
      <c r="H94" s="334"/>
      <c r="I94" s="334"/>
      <c r="J94" s="334"/>
      <c r="K94" s="334"/>
    </row>
  </sheetData>
  <sheetProtection/>
  <mergeCells count="25">
    <mergeCell ref="D33:F33"/>
    <mergeCell ref="B11:C11"/>
    <mergeCell ref="D39:F39"/>
    <mergeCell ref="B15:C15"/>
    <mergeCell ref="B14:C14"/>
    <mergeCell ref="B13:C13"/>
    <mergeCell ref="B33:C33"/>
    <mergeCell ref="B17:C17"/>
    <mergeCell ref="B39:C39"/>
    <mergeCell ref="B25:C25"/>
    <mergeCell ref="B37:C37"/>
    <mergeCell ref="A2:G2"/>
    <mergeCell ref="D7:F7"/>
    <mergeCell ref="B8:B9"/>
    <mergeCell ref="B10:C10"/>
    <mergeCell ref="B28:C28"/>
    <mergeCell ref="B7:C7"/>
    <mergeCell ref="B6:C6"/>
    <mergeCell ref="B35:C35"/>
    <mergeCell ref="B29:C29"/>
    <mergeCell ref="B12:C12"/>
    <mergeCell ref="B30:C30"/>
    <mergeCell ref="B31:C31"/>
    <mergeCell ref="B27:C27"/>
    <mergeCell ref="B24:C24"/>
  </mergeCells>
  <printOptions horizontalCentered="1"/>
  <pageMargins left="0.3937007874015748" right="0.3937007874015748" top="0.5905511811023623" bottom="0.7874015748031497" header="0.3937007874015748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D27" sqref="D27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  <col min="6" max="6" width="12.25390625" style="0" bestFit="1" customWidth="1"/>
  </cols>
  <sheetData>
    <row r="3" spans="1:3" ht="15.75">
      <c r="A3" s="765" t="s">
        <v>522</v>
      </c>
      <c r="B3" s="765"/>
      <c r="C3" s="47"/>
    </row>
    <row r="4" spans="1:3" ht="15.75">
      <c r="A4" s="48"/>
      <c r="B4" s="48"/>
      <c r="C4" s="48"/>
    </row>
    <row r="5" spans="1:3" ht="12.75">
      <c r="A5" s="766" t="s">
        <v>362</v>
      </c>
      <c r="B5" s="766"/>
      <c r="C5" s="50"/>
    </row>
    <row r="6" spans="1:3" ht="12.75">
      <c r="A6" s="49"/>
      <c r="B6" s="49"/>
      <c r="C6" s="50"/>
    </row>
    <row r="7" ht="13.5" thickBot="1">
      <c r="B7" s="49" t="s">
        <v>40</v>
      </c>
    </row>
    <row r="8" spans="1:2" ht="32.25" thickBot="1">
      <c r="A8" s="84" t="s">
        <v>41</v>
      </c>
      <c r="B8" s="85" t="s">
        <v>524</v>
      </c>
    </row>
    <row r="9" spans="1:2" ht="18.75" customHeight="1">
      <c r="A9" s="51" t="s">
        <v>81</v>
      </c>
      <c r="B9" s="52">
        <f>SUM(B10+B11)</f>
        <v>174883</v>
      </c>
    </row>
    <row r="10" spans="1:7" ht="18.75" customHeight="1">
      <c r="A10" s="53" t="s">
        <v>82</v>
      </c>
      <c r="B10" s="54">
        <f>SUM('Össz_Int.műk.bev. '!B15)</f>
        <v>86503</v>
      </c>
      <c r="G10" s="63"/>
    </row>
    <row r="11" spans="1:7" ht="18.75" customHeight="1">
      <c r="A11" s="155" t="s">
        <v>191</v>
      </c>
      <c r="B11" s="54">
        <f>SUM('Össz_Önk.sajátos műk.bev.'!B10)</f>
        <v>88380</v>
      </c>
      <c r="G11" s="63"/>
    </row>
    <row r="12" spans="1:7" s="62" customFormat="1" ht="18.75" customHeight="1">
      <c r="A12" s="60" t="s">
        <v>89</v>
      </c>
      <c r="B12" s="61">
        <f>SUM(B13)</f>
        <v>996748</v>
      </c>
      <c r="F12"/>
      <c r="G12" s="63"/>
    </row>
    <row r="13" spans="1:7" ht="18.75" customHeight="1">
      <c r="A13" s="158" t="s">
        <v>204</v>
      </c>
      <c r="B13" s="54">
        <f>SUM('Össz_költségv.tám.'!B12)</f>
        <v>996748</v>
      </c>
      <c r="C13" s="63"/>
      <c r="G13" s="63"/>
    </row>
    <row r="14" spans="1:7" s="67" customFormat="1" ht="18.75" customHeight="1">
      <c r="A14" s="65" t="s">
        <v>90</v>
      </c>
      <c r="B14" s="66">
        <f>SUM('Össz_Felhalmozási és tőke.bev'!B9)</f>
        <v>17525</v>
      </c>
      <c r="F14"/>
      <c r="G14" s="63"/>
    </row>
    <row r="15" spans="1:7" s="67" customFormat="1" ht="18.75" customHeight="1">
      <c r="A15" s="65" t="s">
        <v>529</v>
      </c>
      <c r="B15" s="66">
        <f>SUM('Össz_Tám. ért. bev.'!B8)</f>
        <v>151178</v>
      </c>
      <c r="F15"/>
      <c r="G15" s="63"/>
    </row>
    <row r="16" spans="1:7" s="67" customFormat="1" ht="18.75" customHeight="1" thickBot="1">
      <c r="A16" s="65" t="s">
        <v>530</v>
      </c>
      <c r="B16" s="66">
        <v>386465</v>
      </c>
      <c r="F16"/>
      <c r="G16" s="63"/>
    </row>
    <row r="17" spans="1:7" s="67" customFormat="1" ht="19.5" customHeight="1" thickBot="1">
      <c r="A17" s="68" t="s">
        <v>66</v>
      </c>
      <c r="B17" s="69">
        <f>SUM(B9+B12+B14+B15+B16)</f>
        <v>1726799</v>
      </c>
      <c r="F17"/>
      <c r="G17" s="63"/>
    </row>
    <row r="18" spans="1:7" s="67" customFormat="1" ht="32.25" customHeight="1">
      <c r="A18" s="70" t="s">
        <v>98</v>
      </c>
      <c r="B18" s="71">
        <f>SUM(B19+B22)</f>
        <v>45528</v>
      </c>
      <c r="F18"/>
      <c r="G18" s="63"/>
    </row>
    <row r="19" spans="1:7" ht="18.75" customHeight="1">
      <c r="A19" s="55" t="s">
        <v>99</v>
      </c>
      <c r="B19" s="72">
        <f>SUM(B20+B21)</f>
        <v>45528</v>
      </c>
      <c r="G19" s="63"/>
    </row>
    <row r="20" spans="1:7" ht="18.75" customHeight="1">
      <c r="A20" s="55" t="s">
        <v>100</v>
      </c>
      <c r="B20" s="72">
        <f>SUM('ÖNK_Összes bevétel'!B42+'PH_Összes bevétel'!B27+'GAM_Összes bevétel'!B27+'ILMKÖsszes bevétel'!B27+'OVI_Összes bevétel'!B27)</f>
        <v>45528</v>
      </c>
      <c r="G20" s="63"/>
    </row>
    <row r="21" spans="1:7" ht="18.75" customHeight="1">
      <c r="A21" s="55" t="s">
        <v>101</v>
      </c>
      <c r="B21" s="72">
        <f>SUM('ÖNK_Összes bevétel'!B43+'PH_Összes bevétel'!B28+'GAM_Összes bevétel'!B28+'ILMKÖsszes bevétel'!B28+'OVI_Összes bevétel'!B28)</f>
        <v>0</v>
      </c>
      <c r="G21" s="63"/>
    </row>
    <row r="22" spans="1:7" ht="18.75" customHeight="1" thickBot="1">
      <c r="A22" s="129" t="s">
        <v>102</v>
      </c>
      <c r="B22" s="128">
        <f>SUM('ÖNK_Összes bevétel'!B44+'PH_Összes bevétel'!B29+'GAM_Összes bevétel'!B29+'ILMKÖsszes bevétel'!B29+'OVI_Összes bevétel'!B29)</f>
        <v>0</v>
      </c>
      <c r="G22" s="63"/>
    </row>
    <row r="23" spans="1:7" ht="21" customHeight="1">
      <c r="A23" s="166" t="s">
        <v>226</v>
      </c>
      <c r="B23" s="120">
        <v>69464</v>
      </c>
      <c r="G23" s="63"/>
    </row>
    <row r="24" spans="1:7" s="170" customFormat="1" ht="18.75" customHeight="1">
      <c r="A24" s="168" t="s">
        <v>227</v>
      </c>
      <c r="B24" s="169">
        <f>SUM('ÖNK_Összes bevétel'!B46)</f>
        <v>0</v>
      </c>
      <c r="F24"/>
      <c r="G24" s="63"/>
    </row>
    <row r="25" spans="1:7" s="170" customFormat="1" ht="18.75" customHeight="1">
      <c r="A25" s="168" t="s">
        <v>228</v>
      </c>
      <c r="B25" s="169">
        <f>SUM('ÖNK_Összes bevétel'!B47)</f>
        <v>0</v>
      </c>
      <c r="F25"/>
      <c r="G25" s="63"/>
    </row>
    <row r="26" spans="1:7" s="170" customFormat="1" ht="18.75" customHeight="1">
      <c r="A26" s="86" t="s">
        <v>229</v>
      </c>
      <c r="B26" s="157">
        <f>SUM('ÖNK_Összes bevétel'!B48)</f>
        <v>668</v>
      </c>
      <c r="F26"/>
      <c r="G26" s="63"/>
    </row>
    <row r="27" spans="1:7" s="170" customFormat="1" ht="18.75" customHeight="1">
      <c r="A27" s="86" t="s">
        <v>230</v>
      </c>
      <c r="B27" s="157">
        <v>68796</v>
      </c>
      <c r="F27"/>
      <c r="G27" s="63"/>
    </row>
    <row r="28" spans="1:7" s="59" customFormat="1" ht="18.75" customHeight="1">
      <c r="A28" s="168" t="s">
        <v>231</v>
      </c>
      <c r="B28" s="165">
        <f>SUM('ÖNK_Összes bevétel'!B50)</f>
        <v>0</v>
      </c>
      <c r="F28"/>
      <c r="G28" s="63"/>
    </row>
    <row r="29" spans="1:7" s="59" customFormat="1" ht="18.75" customHeight="1" thickBot="1">
      <c r="A29" s="171" t="s">
        <v>232</v>
      </c>
      <c r="B29" s="167">
        <v>68796</v>
      </c>
      <c r="F29"/>
      <c r="G29" s="63"/>
    </row>
    <row r="30" spans="1:2" s="67" customFormat="1" ht="18.75" customHeight="1" thickBot="1">
      <c r="A30" s="74" t="s">
        <v>277</v>
      </c>
      <c r="B30" s="71">
        <f>SUM('ÖNK_Összes bevétel'!B52+'PH_Összes bevétel'!B30+'GAM_Összes bevétel'!B30+'ILMKÖsszes bevétel'!B30+'OVI_Összes bevétel'!B30)</f>
        <v>0</v>
      </c>
    </row>
    <row r="31" spans="1:2" s="78" customFormat="1" ht="18.75" customHeight="1" thickBot="1">
      <c r="A31" s="76" t="s">
        <v>103</v>
      </c>
      <c r="B31" s="77">
        <f>SUM(B17+B18+B23+B30)</f>
        <v>1841791</v>
      </c>
    </row>
    <row r="33" ht="12.75">
      <c r="B33" s="79"/>
    </row>
    <row r="35" ht="12.75">
      <c r="B35" s="63"/>
    </row>
    <row r="36" ht="12.75">
      <c r="B36" s="63"/>
    </row>
  </sheetData>
  <sheetProtection/>
  <mergeCells count="2">
    <mergeCell ref="A3:B3"/>
    <mergeCell ref="A5:B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N14" sqref="N14"/>
    </sheetView>
  </sheetViews>
  <sheetFormatPr defaultColWidth="9.00390625" defaultRowHeight="12.75"/>
  <cols>
    <col min="3" max="3" width="36.625" style="0" bestFit="1" customWidth="1"/>
    <col min="4" max="4" width="16.375" style="0" customWidth="1"/>
    <col min="5" max="5" width="10.375" style="0" bestFit="1" customWidth="1"/>
    <col min="6" max="7" width="10.125" style="0" bestFit="1" customWidth="1"/>
    <col min="10" max="13" width="10.125" style="0" bestFit="1" customWidth="1"/>
  </cols>
  <sheetData>
    <row r="2" spans="2:11" ht="12.75">
      <c r="B2" s="812" t="s">
        <v>495</v>
      </c>
      <c r="C2" s="812"/>
      <c r="D2" s="812"/>
      <c r="E2" s="812"/>
      <c r="F2" s="812"/>
      <c r="G2" s="812"/>
      <c r="H2" s="812"/>
      <c r="I2" s="812"/>
      <c r="J2" s="812"/>
      <c r="K2" s="812"/>
    </row>
    <row r="3" spans="2:11" ht="12.75">
      <c r="B3" s="254"/>
      <c r="C3" s="254"/>
      <c r="D3" s="254"/>
      <c r="E3" s="254"/>
      <c r="F3" s="254"/>
      <c r="G3" s="254"/>
      <c r="H3" s="254"/>
      <c r="I3" s="254"/>
      <c r="J3" s="813" t="s">
        <v>561</v>
      </c>
      <c r="K3" s="813"/>
    </row>
    <row r="4" spans="2:11" ht="12.75">
      <c r="B4" s="254"/>
      <c r="C4" s="254"/>
      <c r="D4" s="254"/>
      <c r="E4" s="254"/>
      <c r="F4" s="254"/>
      <c r="G4" s="254"/>
      <c r="H4" s="254"/>
      <c r="I4" s="254"/>
      <c r="J4" s="255"/>
      <c r="K4" s="255"/>
    </row>
    <row r="5" ht="13.5" thickBot="1">
      <c r="K5" s="49" t="s">
        <v>301</v>
      </c>
    </row>
    <row r="6" spans="2:11" ht="13.5" thickBot="1">
      <c r="B6" s="814" t="s">
        <v>302</v>
      </c>
      <c r="C6" s="815" t="s">
        <v>303</v>
      </c>
      <c r="D6" s="816" t="s">
        <v>304</v>
      </c>
      <c r="E6" s="814" t="s">
        <v>305</v>
      </c>
      <c r="F6" s="814" t="s">
        <v>306</v>
      </c>
      <c r="G6" s="814"/>
      <c r="H6" s="814"/>
      <c r="I6" s="814"/>
      <c r="J6" s="814"/>
      <c r="K6" s="815" t="s">
        <v>307</v>
      </c>
    </row>
    <row r="7" spans="2:11" ht="39" thickBot="1">
      <c r="B7" s="814"/>
      <c r="C7" s="814"/>
      <c r="D7" s="817"/>
      <c r="E7" s="814"/>
      <c r="F7" s="256" t="s">
        <v>308</v>
      </c>
      <c r="G7" s="256" t="s">
        <v>309</v>
      </c>
      <c r="H7" s="256" t="s">
        <v>310</v>
      </c>
      <c r="I7" s="256" t="s">
        <v>311</v>
      </c>
      <c r="J7" s="256" t="s">
        <v>312</v>
      </c>
      <c r="K7" s="814"/>
    </row>
    <row r="8" spans="2:11" ht="12.75">
      <c r="B8" s="807" t="s">
        <v>499</v>
      </c>
      <c r="C8" s="808"/>
      <c r="D8" s="808"/>
      <c r="E8" s="808"/>
      <c r="F8" s="808"/>
      <c r="G8" s="808"/>
      <c r="H8" s="808"/>
      <c r="I8" s="808"/>
      <c r="J8" s="808"/>
      <c r="K8" s="809"/>
    </row>
    <row r="9" spans="2:11" ht="12.75">
      <c r="B9" s="291" t="s">
        <v>295</v>
      </c>
      <c r="C9" s="257" t="s">
        <v>314</v>
      </c>
      <c r="D9" s="369">
        <v>41276</v>
      </c>
      <c r="E9" s="259">
        <v>20955</v>
      </c>
      <c r="F9" s="259"/>
      <c r="G9" s="258"/>
      <c r="H9" s="259"/>
      <c r="I9" s="258"/>
      <c r="J9" s="260">
        <f>SUM(F9:I9)</f>
        <v>0</v>
      </c>
      <c r="K9" s="261">
        <f>SUM(E9+J9)</f>
        <v>20955</v>
      </c>
    </row>
    <row r="10" spans="2:11" ht="12.75">
      <c r="B10" s="291" t="s">
        <v>296</v>
      </c>
      <c r="C10" s="257" t="s">
        <v>496</v>
      </c>
      <c r="D10" s="369">
        <v>41279</v>
      </c>
      <c r="E10" s="259">
        <v>8228</v>
      </c>
      <c r="F10" s="259"/>
      <c r="G10" s="258"/>
      <c r="H10" s="259"/>
      <c r="I10" s="258"/>
      <c r="J10" s="260">
        <f aca="true" t="shared" si="0" ref="J10:J18">SUM(F10:I10)</f>
        <v>0</v>
      </c>
      <c r="K10" s="261">
        <f aca="true" t="shared" si="1" ref="K10:K18">SUM(E10+J10)</f>
        <v>8228</v>
      </c>
    </row>
    <row r="11" spans="2:11" ht="12.75">
      <c r="B11" s="291" t="s">
        <v>315</v>
      </c>
      <c r="C11" s="257" t="s">
        <v>313</v>
      </c>
      <c r="D11" s="369">
        <v>41281</v>
      </c>
      <c r="E11" s="259">
        <v>58512</v>
      </c>
      <c r="F11" s="259"/>
      <c r="G11" s="258"/>
      <c r="H11" s="259"/>
      <c r="I11" s="258"/>
      <c r="J11" s="260">
        <f t="shared" si="0"/>
        <v>0</v>
      </c>
      <c r="K11" s="261">
        <f t="shared" si="1"/>
        <v>58512</v>
      </c>
    </row>
    <row r="12" spans="2:11" ht="12.75">
      <c r="B12" s="291" t="s">
        <v>316</v>
      </c>
      <c r="C12" s="257" t="s">
        <v>313</v>
      </c>
      <c r="D12" s="369">
        <v>41281</v>
      </c>
      <c r="E12" s="259">
        <v>203</v>
      </c>
      <c r="F12" s="259"/>
      <c r="G12" s="258"/>
      <c r="H12" s="259"/>
      <c r="I12" s="258"/>
      <c r="J12" s="260">
        <f t="shared" si="0"/>
        <v>0</v>
      </c>
      <c r="K12" s="261">
        <f t="shared" si="1"/>
        <v>203</v>
      </c>
    </row>
    <row r="13" spans="2:11" ht="12.75">
      <c r="B13" s="291" t="s">
        <v>297</v>
      </c>
      <c r="C13" s="257" t="s">
        <v>313</v>
      </c>
      <c r="D13" s="369">
        <v>41281</v>
      </c>
      <c r="E13" s="259">
        <v>203</v>
      </c>
      <c r="F13" s="259"/>
      <c r="G13" s="258"/>
      <c r="H13" s="259"/>
      <c r="I13" s="258"/>
      <c r="J13" s="260">
        <f t="shared" si="0"/>
        <v>0</v>
      </c>
      <c r="K13" s="261">
        <f t="shared" si="1"/>
        <v>203</v>
      </c>
    </row>
    <row r="14" spans="2:11" ht="12.75">
      <c r="B14" s="291" t="s">
        <v>317</v>
      </c>
      <c r="C14" s="257" t="s">
        <v>313</v>
      </c>
      <c r="D14" s="369">
        <v>41281</v>
      </c>
      <c r="E14" s="259">
        <v>67</v>
      </c>
      <c r="F14" s="259"/>
      <c r="G14" s="258"/>
      <c r="H14" s="259"/>
      <c r="I14" s="258"/>
      <c r="J14" s="260">
        <f t="shared" si="0"/>
        <v>0</v>
      </c>
      <c r="K14" s="261">
        <f t="shared" si="1"/>
        <v>67</v>
      </c>
    </row>
    <row r="15" spans="2:11" ht="12.75">
      <c r="B15" s="291" t="s">
        <v>298</v>
      </c>
      <c r="C15" s="257" t="s">
        <v>313</v>
      </c>
      <c r="D15" s="369">
        <v>41282</v>
      </c>
      <c r="E15" s="259">
        <v>221773</v>
      </c>
      <c r="F15" s="259"/>
      <c r="G15" s="258"/>
      <c r="H15" s="259"/>
      <c r="I15" s="258"/>
      <c r="J15" s="260">
        <f t="shared" si="0"/>
        <v>0</v>
      </c>
      <c r="K15" s="261">
        <f t="shared" si="1"/>
        <v>221773</v>
      </c>
    </row>
    <row r="16" spans="2:11" ht="12.75">
      <c r="B16" s="291" t="s">
        <v>318</v>
      </c>
      <c r="C16" s="257" t="s">
        <v>497</v>
      </c>
      <c r="D16" s="369">
        <v>41284</v>
      </c>
      <c r="E16" s="259">
        <v>184960</v>
      </c>
      <c r="F16" s="259"/>
      <c r="G16" s="258"/>
      <c r="H16" s="259"/>
      <c r="I16" s="258"/>
      <c r="J16" s="260">
        <f t="shared" si="0"/>
        <v>0</v>
      </c>
      <c r="K16" s="261">
        <f t="shared" si="1"/>
        <v>184960</v>
      </c>
    </row>
    <row r="17" spans="2:11" ht="12.75">
      <c r="B17" s="291" t="s">
        <v>319</v>
      </c>
      <c r="C17" s="257" t="s">
        <v>498</v>
      </c>
      <c r="D17" s="369">
        <v>41286</v>
      </c>
      <c r="E17" s="259">
        <v>1990</v>
      </c>
      <c r="F17" s="259"/>
      <c r="G17" s="258"/>
      <c r="H17" s="259"/>
      <c r="I17" s="258"/>
      <c r="J17" s="260">
        <f t="shared" si="0"/>
        <v>0</v>
      </c>
      <c r="K17" s="261">
        <f t="shared" si="1"/>
        <v>1990</v>
      </c>
    </row>
    <row r="18" spans="2:11" ht="12.75">
      <c r="B18" s="291" t="s">
        <v>299</v>
      </c>
      <c r="C18" s="257" t="s">
        <v>498</v>
      </c>
      <c r="D18" s="369">
        <v>41287</v>
      </c>
      <c r="E18" s="259">
        <v>1990</v>
      </c>
      <c r="F18" s="259"/>
      <c r="G18" s="258"/>
      <c r="H18" s="259"/>
      <c r="I18" s="258"/>
      <c r="J18" s="260">
        <f t="shared" si="0"/>
        <v>0</v>
      </c>
      <c r="K18" s="261">
        <f t="shared" si="1"/>
        <v>1990</v>
      </c>
    </row>
    <row r="19" spans="2:11" ht="12.75">
      <c r="B19" s="263" t="s">
        <v>320</v>
      </c>
      <c r="C19" s="264"/>
      <c r="D19" s="264"/>
      <c r="E19" s="264"/>
      <c r="F19" s="264"/>
      <c r="G19" s="264"/>
      <c r="H19" s="264"/>
      <c r="I19" s="264"/>
      <c r="J19" s="264"/>
      <c r="K19" s="265"/>
    </row>
    <row r="20" spans="2:11" ht="12.75">
      <c r="B20" s="262" t="s">
        <v>562</v>
      </c>
      <c r="C20" s="810" t="s">
        <v>321</v>
      </c>
      <c r="D20" s="811"/>
      <c r="E20" s="56">
        <v>4923023</v>
      </c>
      <c r="F20" s="56"/>
      <c r="G20" s="56"/>
      <c r="H20" s="56"/>
      <c r="I20" s="56">
        <v>1277001</v>
      </c>
      <c r="J20" s="292">
        <f>SUM(F20:I20)</f>
        <v>1277001</v>
      </c>
      <c r="K20" s="266">
        <f>SUM(E20+J20)</f>
        <v>6200024</v>
      </c>
    </row>
    <row r="21" spans="2:11" ht="12.75">
      <c r="B21" s="262" t="s">
        <v>563</v>
      </c>
      <c r="C21" s="810" t="s">
        <v>322</v>
      </c>
      <c r="D21" s="811"/>
      <c r="E21" s="56"/>
      <c r="F21" s="56"/>
      <c r="G21" s="56"/>
      <c r="H21" s="56"/>
      <c r="I21" s="56">
        <v>113242</v>
      </c>
      <c r="J21" s="292">
        <f>SUM(F21:I21)</f>
        <v>113242</v>
      </c>
      <c r="K21" s="266">
        <f>SUM(E21+J21)</f>
        <v>113242</v>
      </c>
    </row>
    <row r="22" spans="2:13" ht="12.75">
      <c r="B22" s="262" t="s">
        <v>564</v>
      </c>
      <c r="C22" s="810" t="s">
        <v>323</v>
      </c>
      <c r="D22" s="811"/>
      <c r="E22" s="56">
        <v>523426</v>
      </c>
      <c r="F22" s="56"/>
      <c r="G22" s="56"/>
      <c r="H22" s="56"/>
      <c r="I22" s="56"/>
      <c r="J22" s="292">
        <f>SUM(F22:I22)</f>
        <v>0</v>
      </c>
      <c r="K22" s="266">
        <f>SUM(E22+J22)</f>
        <v>523426</v>
      </c>
      <c r="M22" s="63"/>
    </row>
    <row r="23" spans="2:11" ht="13.5" thickBot="1">
      <c r="B23" s="267" t="s">
        <v>324</v>
      </c>
      <c r="C23" s="268"/>
      <c r="D23" s="269"/>
      <c r="E23" s="270">
        <f aca="true" t="shared" si="2" ref="E23:J23">SUM(E19:E22)</f>
        <v>5446449</v>
      </c>
      <c r="F23" s="270">
        <f t="shared" si="2"/>
        <v>0</v>
      </c>
      <c r="G23" s="270">
        <f t="shared" si="2"/>
        <v>0</v>
      </c>
      <c r="H23" s="270">
        <f t="shared" si="2"/>
        <v>0</v>
      </c>
      <c r="I23" s="270">
        <f t="shared" si="2"/>
        <v>1390243</v>
      </c>
      <c r="J23" s="270">
        <f t="shared" si="2"/>
        <v>1390243</v>
      </c>
      <c r="K23" s="271">
        <f>SUM(K9:K22)</f>
        <v>7335573</v>
      </c>
    </row>
    <row r="25" ht="12.75">
      <c r="K25" s="63"/>
    </row>
  </sheetData>
  <sheetProtection/>
  <mergeCells count="12">
    <mergeCell ref="B2:K2"/>
    <mergeCell ref="J3:K3"/>
    <mergeCell ref="B6:B7"/>
    <mergeCell ref="C6:C7"/>
    <mergeCell ref="D6:D7"/>
    <mergeCell ref="E6:E7"/>
    <mergeCell ref="F6:J6"/>
    <mergeCell ref="K6:K7"/>
    <mergeCell ref="B8:K8"/>
    <mergeCell ref="C20:D20"/>
    <mergeCell ref="C21:D21"/>
    <mergeCell ref="C22:D22"/>
  </mergeCells>
  <printOptions horizontalCentered="1"/>
  <pageMargins left="0.44" right="0.38" top="0.74" bottom="0.57" header="0.38" footer="0.42"/>
  <pageSetup horizontalDpi="600" verticalDpi="600" orientation="landscape" paperSize="9" scale="70" r:id="rId1"/>
  <ignoredErrors>
    <ignoredError sqref="J20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B3:E18"/>
  <sheetViews>
    <sheetView zoomScalePageLayoutView="0" workbookViewId="0" topLeftCell="A4">
      <selection activeCell="I9" sqref="I9"/>
    </sheetView>
  </sheetViews>
  <sheetFormatPr defaultColWidth="9.00390625" defaultRowHeight="12.75"/>
  <cols>
    <col min="1" max="1" width="9.125" style="273" customWidth="1"/>
    <col min="2" max="2" width="33.25390625" style="272" bestFit="1" customWidth="1"/>
    <col min="3" max="4" width="11.00390625" style="272" customWidth="1"/>
    <col min="5" max="5" width="11.00390625" style="273" customWidth="1"/>
    <col min="6" max="16384" width="9.125" style="273" customWidth="1"/>
  </cols>
  <sheetData>
    <row r="3" ht="12.75">
      <c r="E3" s="295" t="s">
        <v>565</v>
      </c>
    </row>
    <row r="5" spans="2:5" s="433" customFormat="1" ht="13.5" thickBot="1">
      <c r="B5" s="658"/>
      <c r="C5" s="659"/>
      <c r="D5" s="432"/>
      <c r="E5" s="692" t="s">
        <v>71</v>
      </c>
    </row>
    <row r="6" spans="2:5" s="434" customFormat="1" ht="27" customHeight="1" thickBot="1">
      <c r="B6" s="669" t="s">
        <v>699</v>
      </c>
      <c r="C6" s="660" t="s">
        <v>331</v>
      </c>
      <c r="D6" s="660" t="s">
        <v>332</v>
      </c>
      <c r="E6" s="660" t="s">
        <v>333</v>
      </c>
    </row>
    <row r="7" spans="2:5" s="435" customFormat="1" ht="27" customHeight="1">
      <c r="B7" s="661" t="s">
        <v>700</v>
      </c>
      <c r="C7" s="662">
        <f>SUM(C8:C9)</f>
        <v>41433</v>
      </c>
      <c r="D7" s="662">
        <f>SUM(D8:D9)</f>
        <v>29848</v>
      </c>
      <c r="E7" s="662">
        <f>SUM(E8:E9)</f>
        <v>22995</v>
      </c>
    </row>
    <row r="8" spans="2:5" s="433" customFormat="1" ht="27" customHeight="1">
      <c r="B8" s="663" t="s">
        <v>701</v>
      </c>
      <c r="C8" s="568">
        <v>41433</v>
      </c>
      <c r="D8" s="568">
        <v>29848</v>
      </c>
      <c r="E8" s="568">
        <v>22995</v>
      </c>
    </row>
    <row r="9" spans="2:5" s="433" customFormat="1" ht="27" customHeight="1" thickBot="1">
      <c r="B9" s="664" t="s">
        <v>702</v>
      </c>
      <c r="C9" s="590">
        <v>0</v>
      </c>
      <c r="D9" s="590">
        <v>0</v>
      </c>
      <c r="E9" s="590">
        <v>0</v>
      </c>
    </row>
    <row r="10" spans="2:5" s="435" customFormat="1" ht="27" customHeight="1">
      <c r="B10" s="665" t="s">
        <v>694</v>
      </c>
      <c r="C10" s="666">
        <f>SUM(C11:C12)</f>
        <v>31915</v>
      </c>
      <c r="D10" s="666">
        <f>SUM(D11:D12)</f>
        <v>0</v>
      </c>
      <c r="E10" s="666">
        <f>SUM(E11:E12)</f>
        <v>0</v>
      </c>
    </row>
    <row r="11" spans="2:5" s="433" customFormat="1" ht="27" customHeight="1">
      <c r="B11" s="663" t="s">
        <v>696</v>
      </c>
      <c r="C11" s="568">
        <v>0</v>
      </c>
      <c r="D11" s="568">
        <v>0</v>
      </c>
      <c r="E11" s="568">
        <v>0</v>
      </c>
    </row>
    <row r="12" spans="2:5" s="433" customFormat="1" ht="27" customHeight="1" thickBot="1">
      <c r="B12" s="664" t="s">
        <v>713</v>
      </c>
      <c r="C12" s="590">
        <v>31915</v>
      </c>
      <c r="D12" s="590">
        <v>0</v>
      </c>
      <c r="E12" s="590">
        <v>0</v>
      </c>
    </row>
    <row r="13" spans="2:5" s="435" customFormat="1" ht="27" customHeight="1">
      <c r="B13" s="665" t="s">
        <v>695</v>
      </c>
      <c r="C13" s="666">
        <f>SUM(C14:C15)</f>
        <v>5867</v>
      </c>
      <c r="D13" s="666">
        <f>SUM(D14:D15)</f>
        <v>0</v>
      </c>
      <c r="E13" s="666">
        <f>SUM(E14:E15)</f>
        <v>0</v>
      </c>
    </row>
    <row r="14" spans="2:5" s="433" customFormat="1" ht="27" customHeight="1">
      <c r="B14" s="663" t="s">
        <v>697</v>
      </c>
      <c r="C14" s="568">
        <v>0</v>
      </c>
      <c r="D14" s="568">
        <v>0</v>
      </c>
      <c r="E14" s="568">
        <v>0</v>
      </c>
    </row>
    <row r="15" spans="2:5" s="433" customFormat="1" ht="27" customHeight="1" thickBot="1">
      <c r="B15" s="664" t="s">
        <v>713</v>
      </c>
      <c r="C15" s="590">
        <v>5867</v>
      </c>
      <c r="D15" s="590">
        <v>0</v>
      </c>
      <c r="E15" s="590">
        <v>0</v>
      </c>
    </row>
    <row r="16" spans="2:5" s="433" customFormat="1" ht="27" customHeight="1">
      <c r="B16" s="661" t="s">
        <v>698</v>
      </c>
      <c r="C16" s="666">
        <f>SUM(C17:C18)</f>
        <v>11000</v>
      </c>
      <c r="D16" s="666">
        <f>SUM(D17:D18)</f>
        <v>0</v>
      </c>
      <c r="E16" s="666">
        <f>SUM(E17:E18)</f>
        <v>0</v>
      </c>
    </row>
    <row r="17" spans="2:5" s="433" customFormat="1" ht="27" customHeight="1">
      <c r="B17" s="663" t="s">
        <v>696</v>
      </c>
      <c r="C17" s="568">
        <v>0</v>
      </c>
      <c r="D17" s="568">
        <v>0</v>
      </c>
      <c r="E17" s="568">
        <v>0</v>
      </c>
    </row>
    <row r="18" spans="2:5" s="433" customFormat="1" ht="27" customHeight="1" thickBot="1">
      <c r="B18" s="667" t="s">
        <v>713</v>
      </c>
      <c r="C18" s="668">
        <v>11000</v>
      </c>
      <c r="D18" s="668">
        <v>0</v>
      </c>
      <c r="E18" s="668">
        <v>0</v>
      </c>
    </row>
  </sheetData>
  <sheetProtection/>
  <printOptions horizontalCentered="1"/>
  <pageMargins left="0.62" right="0.71" top="1.59" bottom="0.35433070866141736" header="0.88" footer="0.15748031496062992"/>
  <pageSetup horizontalDpi="600" verticalDpi="600" orientation="portrait" paperSize="9" scale="115" r:id="rId1"/>
  <headerFooter alignWithMargins="0">
    <oddHeader>&amp;C&amp;"Arial,Félkövér"&amp;12Európai Uniós forrásból finanszírozott pályázatok forrásösszetételének alakulása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B1">
      <selection activeCell="G25" sqref="G25"/>
    </sheetView>
  </sheetViews>
  <sheetFormatPr defaultColWidth="9.00390625" defaultRowHeight="12.75"/>
  <cols>
    <col min="2" max="2" width="26.625" style="0" customWidth="1"/>
    <col min="3" max="3" width="13.625" style="0" customWidth="1"/>
    <col min="4" max="4" width="11.75390625" style="0" bestFit="1" customWidth="1"/>
    <col min="5" max="5" width="14.00390625" style="0" bestFit="1" customWidth="1"/>
    <col min="6" max="7" width="14.00390625" style="0" customWidth="1"/>
    <col min="8" max="9" width="11.75390625" style="0" bestFit="1" customWidth="1"/>
    <col min="10" max="12" width="12.75390625" style="0" bestFit="1" customWidth="1"/>
    <col min="13" max="13" width="13.875" style="0" bestFit="1" customWidth="1"/>
    <col min="14" max="14" width="9.375" style="0" bestFit="1" customWidth="1"/>
  </cols>
  <sheetData>
    <row r="2" spans="2:14" ht="15.75">
      <c r="B2" s="758" t="s">
        <v>325</v>
      </c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2:14" ht="15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2.7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2:13" ht="12.75">
      <c r="L5" s="766" t="s">
        <v>566</v>
      </c>
      <c r="M5" s="766"/>
    </row>
    <row r="6" ht="13.5" thickBot="1">
      <c r="M6" s="49" t="s">
        <v>40</v>
      </c>
    </row>
    <row r="7" spans="2:13" s="429" customFormat="1" ht="12.75">
      <c r="B7" s="838" t="s">
        <v>326</v>
      </c>
      <c r="C7" s="839"/>
      <c r="D7" s="842" t="s">
        <v>327</v>
      </c>
      <c r="E7" s="844" t="s">
        <v>328</v>
      </c>
      <c r="F7" s="842" t="s">
        <v>329</v>
      </c>
      <c r="G7" s="844" t="s">
        <v>645</v>
      </c>
      <c r="H7" s="832" t="s">
        <v>330</v>
      </c>
      <c r="I7" s="832"/>
      <c r="J7" s="832"/>
      <c r="K7" s="832"/>
      <c r="L7" s="832"/>
      <c r="M7" s="833"/>
    </row>
    <row r="8" spans="2:13" s="429" customFormat="1" ht="39" thickBot="1">
      <c r="B8" s="840"/>
      <c r="C8" s="841"/>
      <c r="D8" s="843"/>
      <c r="E8" s="845"/>
      <c r="F8" s="846"/>
      <c r="G8" s="845"/>
      <c r="H8" s="577" t="s">
        <v>331</v>
      </c>
      <c r="I8" s="577" t="s">
        <v>332</v>
      </c>
      <c r="J8" s="577" t="s">
        <v>333</v>
      </c>
      <c r="K8" s="577" t="s">
        <v>352</v>
      </c>
      <c r="L8" s="577" t="s">
        <v>646</v>
      </c>
      <c r="M8" s="578" t="s">
        <v>647</v>
      </c>
    </row>
    <row r="9" spans="1:14" s="429" customFormat="1" ht="12.75">
      <c r="A9" s="436"/>
      <c r="B9" s="835" t="s">
        <v>334</v>
      </c>
      <c r="C9" s="579" t="s">
        <v>335</v>
      </c>
      <c r="D9" s="836">
        <v>90000</v>
      </c>
      <c r="E9" s="837" t="s">
        <v>336</v>
      </c>
      <c r="F9" s="837" t="s">
        <v>337</v>
      </c>
      <c r="G9" s="834">
        <v>47835</v>
      </c>
      <c r="H9" s="580">
        <v>3887</v>
      </c>
      <c r="I9" s="580">
        <v>1922</v>
      </c>
      <c r="J9" s="580">
        <v>1922</v>
      </c>
      <c r="K9" s="580">
        <v>1922</v>
      </c>
      <c r="L9" s="580">
        <v>1922</v>
      </c>
      <c r="M9" s="581">
        <v>5766</v>
      </c>
      <c r="N9" s="437"/>
    </row>
    <row r="10" spans="1:14" s="429" customFormat="1" ht="12.75">
      <c r="A10" s="436"/>
      <c r="B10" s="828"/>
      <c r="C10" s="582" t="s">
        <v>338</v>
      </c>
      <c r="D10" s="829"/>
      <c r="E10" s="820"/>
      <c r="F10" s="820"/>
      <c r="G10" s="823"/>
      <c r="H10" s="583">
        <v>815</v>
      </c>
      <c r="I10" s="583">
        <v>324</v>
      </c>
      <c r="J10" s="583">
        <v>275</v>
      </c>
      <c r="K10" s="583">
        <v>226</v>
      </c>
      <c r="L10" s="583">
        <v>177</v>
      </c>
      <c r="M10" s="584">
        <v>239</v>
      </c>
      <c r="N10" s="437"/>
    </row>
    <row r="11" spans="1:14" s="429" customFormat="1" ht="12.75">
      <c r="A11" s="436"/>
      <c r="B11" s="827" t="s">
        <v>339</v>
      </c>
      <c r="C11" s="585" t="s">
        <v>335</v>
      </c>
      <c r="D11" s="829">
        <v>100000</v>
      </c>
      <c r="E11" s="818" t="s">
        <v>340</v>
      </c>
      <c r="F11" s="818" t="s">
        <v>337</v>
      </c>
      <c r="G11" s="821">
        <v>37587</v>
      </c>
      <c r="H11" s="583">
        <v>3054</v>
      </c>
      <c r="I11" s="583">
        <v>1510</v>
      </c>
      <c r="J11" s="583">
        <v>1510</v>
      </c>
      <c r="K11" s="583">
        <v>1510</v>
      </c>
      <c r="L11" s="583">
        <v>1510</v>
      </c>
      <c r="M11" s="584">
        <v>4531</v>
      </c>
      <c r="N11" s="437"/>
    </row>
    <row r="12" spans="1:14" s="429" customFormat="1" ht="12.75">
      <c r="A12" s="436"/>
      <c r="B12" s="828"/>
      <c r="C12" s="585" t="s">
        <v>338</v>
      </c>
      <c r="D12" s="829"/>
      <c r="E12" s="820"/>
      <c r="F12" s="820"/>
      <c r="G12" s="823"/>
      <c r="H12" s="583">
        <v>641</v>
      </c>
      <c r="I12" s="583">
        <v>255</v>
      </c>
      <c r="J12" s="583">
        <v>216</v>
      </c>
      <c r="K12" s="583">
        <v>178</v>
      </c>
      <c r="L12" s="583">
        <v>139</v>
      </c>
      <c r="M12" s="584">
        <v>188</v>
      </c>
      <c r="N12" s="437"/>
    </row>
    <row r="13" spans="1:14" s="429" customFormat="1" ht="12.75">
      <c r="A13" s="436"/>
      <c r="B13" s="827" t="s">
        <v>341</v>
      </c>
      <c r="C13" s="586" t="s">
        <v>335</v>
      </c>
      <c r="D13" s="829">
        <v>12000</v>
      </c>
      <c r="E13" s="818" t="s">
        <v>342</v>
      </c>
      <c r="F13" s="818" t="s">
        <v>343</v>
      </c>
      <c r="G13" s="821">
        <v>10274</v>
      </c>
      <c r="H13" s="587">
        <v>1712</v>
      </c>
      <c r="I13" s="587">
        <v>274</v>
      </c>
      <c r="J13" s="587">
        <v>274</v>
      </c>
      <c r="K13" s="587">
        <v>274</v>
      </c>
      <c r="L13" s="587">
        <v>274</v>
      </c>
      <c r="M13" s="588">
        <v>274</v>
      </c>
      <c r="N13" s="437"/>
    </row>
    <row r="14" spans="1:14" s="429" customFormat="1" ht="12.75">
      <c r="A14" s="436"/>
      <c r="B14" s="828"/>
      <c r="C14" s="586" t="s">
        <v>338</v>
      </c>
      <c r="D14" s="829"/>
      <c r="E14" s="820"/>
      <c r="F14" s="820"/>
      <c r="G14" s="823"/>
      <c r="H14" s="587">
        <v>88</v>
      </c>
      <c r="I14" s="587">
        <v>33</v>
      </c>
      <c r="J14" s="587">
        <v>26</v>
      </c>
      <c r="K14" s="587">
        <v>18</v>
      </c>
      <c r="L14" s="587">
        <v>11</v>
      </c>
      <c r="M14" s="588">
        <v>4</v>
      </c>
      <c r="N14" s="437"/>
    </row>
    <row r="15" spans="1:14" s="429" customFormat="1" ht="12.75">
      <c r="A15" s="436"/>
      <c r="B15" s="827" t="s">
        <v>344</v>
      </c>
      <c r="C15" s="586" t="s">
        <v>335</v>
      </c>
      <c r="D15" s="829">
        <v>15400</v>
      </c>
      <c r="E15" s="818" t="s">
        <v>345</v>
      </c>
      <c r="F15" s="818" t="s">
        <v>346</v>
      </c>
      <c r="G15" s="821">
        <v>11550</v>
      </c>
      <c r="H15" s="587">
        <v>1112</v>
      </c>
      <c r="I15" s="587">
        <v>535</v>
      </c>
      <c r="J15" s="587">
        <v>535</v>
      </c>
      <c r="K15" s="587">
        <v>535</v>
      </c>
      <c r="L15" s="587">
        <v>535</v>
      </c>
      <c r="M15" s="588">
        <v>1068</v>
      </c>
      <c r="N15" s="437"/>
    </row>
    <row r="16" spans="1:14" s="429" customFormat="1" ht="12.75">
      <c r="A16" s="436"/>
      <c r="B16" s="828"/>
      <c r="C16" s="586" t="s">
        <v>338</v>
      </c>
      <c r="D16" s="829"/>
      <c r="E16" s="820"/>
      <c r="F16" s="820"/>
      <c r="G16" s="823"/>
      <c r="H16" s="587">
        <v>628</v>
      </c>
      <c r="I16" s="587">
        <v>242</v>
      </c>
      <c r="J16" s="587">
        <v>197</v>
      </c>
      <c r="K16" s="587">
        <v>152</v>
      </c>
      <c r="L16" s="587">
        <v>107</v>
      </c>
      <c r="M16" s="588">
        <v>79</v>
      </c>
      <c r="N16" s="437"/>
    </row>
    <row r="17" spans="1:14" s="429" customFormat="1" ht="12.75">
      <c r="A17" s="436"/>
      <c r="B17" s="827" t="s">
        <v>347</v>
      </c>
      <c r="C17" s="586" t="s">
        <v>335</v>
      </c>
      <c r="D17" s="829">
        <v>114071</v>
      </c>
      <c r="E17" s="818" t="s">
        <v>345</v>
      </c>
      <c r="F17" s="818" t="s">
        <v>346</v>
      </c>
      <c r="G17" s="821">
        <v>86291</v>
      </c>
      <c r="H17" s="589">
        <v>8025</v>
      </c>
      <c r="I17" s="589">
        <v>4006</v>
      </c>
      <c r="J17" s="589">
        <v>4006</v>
      </c>
      <c r="K17" s="589">
        <v>4006</v>
      </c>
      <c r="L17" s="589">
        <v>4006</v>
      </c>
      <c r="M17" s="590">
        <v>8011</v>
      </c>
      <c r="N17" s="437"/>
    </row>
    <row r="18" spans="1:14" s="429" customFormat="1" ht="12.75">
      <c r="A18" s="436"/>
      <c r="B18" s="830"/>
      <c r="C18" s="586" t="s">
        <v>338</v>
      </c>
      <c r="D18" s="831"/>
      <c r="E18" s="819"/>
      <c r="F18" s="819"/>
      <c r="G18" s="822"/>
      <c r="H18" s="589">
        <v>1265</v>
      </c>
      <c r="I18" s="589">
        <v>491</v>
      </c>
      <c r="J18" s="589">
        <v>404</v>
      </c>
      <c r="K18" s="589">
        <v>316</v>
      </c>
      <c r="L18" s="589">
        <v>228</v>
      </c>
      <c r="M18" s="590">
        <v>191</v>
      </c>
      <c r="N18" s="437"/>
    </row>
    <row r="19" spans="1:14" s="429" customFormat="1" ht="12.75">
      <c r="A19" s="436"/>
      <c r="B19" s="827" t="s">
        <v>349</v>
      </c>
      <c r="C19" s="586" t="s">
        <v>335</v>
      </c>
      <c r="D19" s="829">
        <v>121388</v>
      </c>
      <c r="E19" s="818" t="s">
        <v>350</v>
      </c>
      <c r="F19" s="818" t="s">
        <v>351</v>
      </c>
      <c r="G19" s="821">
        <v>122695</v>
      </c>
      <c r="H19" s="587">
        <v>3381</v>
      </c>
      <c r="I19" s="587">
        <v>2128</v>
      </c>
      <c r="J19" s="587">
        <v>2128</v>
      </c>
      <c r="K19" s="587">
        <v>2128</v>
      </c>
      <c r="L19" s="587">
        <v>2128</v>
      </c>
      <c r="M19" s="588">
        <v>27662</v>
      </c>
      <c r="N19" s="437"/>
    </row>
    <row r="20" spans="1:14" s="429" customFormat="1" ht="13.5" thickBot="1">
      <c r="A20" s="436"/>
      <c r="B20" s="830"/>
      <c r="C20" s="586" t="s">
        <v>338</v>
      </c>
      <c r="D20" s="831"/>
      <c r="E20" s="819"/>
      <c r="F20" s="819"/>
      <c r="G20" s="822"/>
      <c r="H20" s="587">
        <v>7429</v>
      </c>
      <c r="I20" s="587">
        <v>1523</v>
      </c>
      <c r="J20" s="587">
        <v>1434</v>
      </c>
      <c r="K20" s="587">
        <v>1344</v>
      </c>
      <c r="L20" s="587">
        <v>1254</v>
      </c>
      <c r="M20" s="588">
        <v>8153</v>
      </c>
      <c r="N20" s="437"/>
    </row>
    <row r="21" spans="1:13" s="429" customFormat="1" ht="13.5" thickBot="1">
      <c r="A21" s="436"/>
      <c r="B21" s="824" t="s">
        <v>300</v>
      </c>
      <c r="C21" s="825"/>
      <c r="D21" s="825"/>
      <c r="E21" s="825"/>
      <c r="F21" s="826"/>
      <c r="G21" s="591">
        <f aca="true" t="shared" si="0" ref="G21:M21">SUM(G9:G20)</f>
        <v>316232</v>
      </c>
      <c r="H21" s="592">
        <f t="shared" si="0"/>
        <v>32037</v>
      </c>
      <c r="I21" s="592">
        <f t="shared" si="0"/>
        <v>13243</v>
      </c>
      <c r="J21" s="592">
        <f t="shared" si="0"/>
        <v>12927</v>
      </c>
      <c r="K21" s="592">
        <f t="shared" si="0"/>
        <v>12609</v>
      </c>
      <c r="L21" s="592">
        <f t="shared" si="0"/>
        <v>12291</v>
      </c>
      <c r="M21" s="593">
        <f t="shared" si="0"/>
        <v>56166</v>
      </c>
    </row>
    <row r="23" spans="4:9" ht="12.75">
      <c r="D23" s="63"/>
      <c r="H23" s="6"/>
      <c r="I23" s="290"/>
    </row>
    <row r="24" spans="8:9" ht="12.75">
      <c r="H24" s="6"/>
      <c r="I24" s="290"/>
    </row>
    <row r="28" ht="12.75">
      <c r="L28" s="63"/>
    </row>
    <row r="29" ht="12.75">
      <c r="L29" s="63"/>
    </row>
    <row r="30" ht="12.75">
      <c r="L30" s="63"/>
    </row>
    <row r="31" ht="12.75">
      <c r="L31" s="63"/>
    </row>
    <row r="32" ht="12.75">
      <c r="L32" s="63"/>
    </row>
  </sheetData>
  <sheetProtection/>
  <mergeCells count="39">
    <mergeCell ref="B13:B14"/>
    <mergeCell ref="D13:D14"/>
    <mergeCell ref="E13:E14"/>
    <mergeCell ref="B2:N2"/>
    <mergeCell ref="L5:M5"/>
    <mergeCell ref="B7:C8"/>
    <mergeCell ref="D7:D8"/>
    <mergeCell ref="E7:E8"/>
    <mergeCell ref="F7:F8"/>
    <mergeCell ref="G7:G8"/>
    <mergeCell ref="H7:M7"/>
    <mergeCell ref="G9:G10"/>
    <mergeCell ref="B11:B12"/>
    <mergeCell ref="D11:D12"/>
    <mergeCell ref="E11:E12"/>
    <mergeCell ref="B9:B10"/>
    <mergeCell ref="D9:D10"/>
    <mergeCell ref="E9:E10"/>
    <mergeCell ref="F9:F10"/>
    <mergeCell ref="F11:F12"/>
    <mergeCell ref="G11:G12"/>
    <mergeCell ref="B21:F21"/>
    <mergeCell ref="B15:B16"/>
    <mergeCell ref="D15:D16"/>
    <mergeCell ref="E15:E16"/>
    <mergeCell ref="B19:B20"/>
    <mergeCell ref="D19:D20"/>
    <mergeCell ref="E19:E20"/>
    <mergeCell ref="B17:B18"/>
    <mergeCell ref="D17:D18"/>
    <mergeCell ref="G19:G20"/>
    <mergeCell ref="G15:G16"/>
    <mergeCell ref="G13:G14"/>
    <mergeCell ref="G17:G18"/>
    <mergeCell ref="E17:E18"/>
    <mergeCell ref="F15:F16"/>
    <mergeCell ref="F13:F14"/>
    <mergeCell ref="F19:F20"/>
    <mergeCell ref="F17:F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14" max="1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83.625" style="2" bestFit="1" customWidth="1"/>
    <col min="2" max="2" width="10.00390625" style="27" customWidth="1"/>
    <col min="3" max="3" width="11.00390625" style="27" bestFit="1" customWidth="1"/>
    <col min="4" max="4" width="12.25390625" style="27" customWidth="1"/>
    <col min="5" max="5" width="10.00390625" style="27" bestFit="1" customWidth="1"/>
    <col min="6" max="6" width="9.125" style="2" customWidth="1"/>
    <col min="7" max="7" width="10.75390625" style="188" bestFit="1" customWidth="1"/>
    <col min="8" max="8" width="10.125" style="0" bestFit="1" customWidth="1"/>
    <col min="9" max="9" width="11.125" style="0" bestFit="1" customWidth="1"/>
    <col min="10" max="12" width="10.125" style="0" bestFit="1" customWidth="1"/>
  </cols>
  <sheetData>
    <row r="1" ht="23.25" customHeight="1"/>
    <row r="2" spans="1:9" ht="15.75">
      <c r="A2" s="113"/>
      <c r="B2" s="293"/>
      <c r="C2" s="280"/>
      <c r="D2" s="162"/>
      <c r="E2" s="162"/>
      <c r="H2" s="2"/>
      <c r="I2" s="2"/>
    </row>
    <row r="3" spans="1:9" ht="15.75">
      <c r="A3" s="113"/>
      <c r="B3" s="438" t="s">
        <v>567</v>
      </c>
      <c r="C3" s="280"/>
      <c r="D3" s="162"/>
      <c r="E3" s="162"/>
      <c r="H3" s="2"/>
      <c r="I3" s="2"/>
    </row>
    <row r="4" spans="1:9" ht="15.75">
      <c r="A4" s="113"/>
      <c r="B4" s="293"/>
      <c r="C4" s="280"/>
      <c r="D4" s="162"/>
      <c r="E4" s="162"/>
      <c r="H4" s="2"/>
      <c r="I4" s="2"/>
    </row>
    <row r="5" spans="1:9" ht="15.75">
      <c r="A5" s="760" t="s">
        <v>510</v>
      </c>
      <c r="B5" s="760"/>
      <c r="C5" s="280"/>
      <c r="D5" s="162"/>
      <c r="E5" s="162"/>
      <c r="H5" s="2"/>
      <c r="I5" s="2"/>
    </row>
    <row r="6" spans="1:9" ht="15.75">
      <c r="A6" s="113"/>
      <c r="B6" s="113"/>
      <c r="C6" s="280"/>
      <c r="D6" s="162"/>
      <c r="E6" s="162"/>
      <c r="H6" s="2"/>
      <c r="I6" s="2"/>
    </row>
    <row r="7" spans="2:9" ht="20.25" customHeight="1" thickBot="1">
      <c r="B7" s="7" t="s">
        <v>40</v>
      </c>
      <c r="C7" s="7"/>
      <c r="H7" s="2"/>
      <c r="I7" s="2"/>
    </row>
    <row r="8" spans="1:9" ht="12.75">
      <c r="A8" s="178" t="s">
        <v>41</v>
      </c>
      <c r="B8" s="372" t="s">
        <v>73</v>
      </c>
      <c r="C8" s="180"/>
      <c r="H8" s="2"/>
      <c r="I8" s="2"/>
    </row>
    <row r="9" spans="1:3" ht="12.75">
      <c r="A9" s="121" t="s">
        <v>354</v>
      </c>
      <c r="B9" s="72">
        <v>60</v>
      </c>
      <c r="C9" s="6"/>
    </row>
    <row r="10" spans="1:3" ht="12.75">
      <c r="A10" s="122" t="s">
        <v>357</v>
      </c>
      <c r="B10" s="73">
        <f>3000-60</f>
        <v>2940</v>
      </c>
      <c r="C10" s="6"/>
    </row>
    <row r="11" spans="1:3" ht="13.5" thickBot="1">
      <c r="A11" s="122" t="s">
        <v>355</v>
      </c>
      <c r="B11" s="73"/>
      <c r="C11" s="6"/>
    </row>
    <row r="12" spans="1:3" ht="13.5" thickBot="1">
      <c r="A12" s="22" t="s">
        <v>356</v>
      </c>
      <c r="B12" s="149">
        <f>SUM(B9:B11)</f>
        <v>3000</v>
      </c>
      <c r="C12" s="180"/>
    </row>
    <row r="13" ht="13.5" thickBot="1"/>
    <row r="14" spans="1:9" ht="12.75">
      <c r="A14" s="178" t="s">
        <v>41</v>
      </c>
      <c r="B14" s="372" t="s">
        <v>73</v>
      </c>
      <c r="C14" s="180"/>
      <c r="H14" s="2"/>
      <c r="I14" s="2"/>
    </row>
    <row r="15" spans="1:3" ht="12.75">
      <c r="A15" s="121" t="s">
        <v>353</v>
      </c>
      <c r="B15" s="72">
        <v>60</v>
      </c>
      <c r="C15" s="6"/>
    </row>
    <row r="16" spans="1:3" ht="12.75">
      <c r="A16" s="122" t="s">
        <v>359</v>
      </c>
      <c r="B16" s="73">
        <v>2940</v>
      </c>
      <c r="C16" s="6"/>
    </row>
    <row r="17" spans="1:3" ht="13.5" thickBot="1">
      <c r="A17" s="122" t="s">
        <v>360</v>
      </c>
      <c r="B17" s="73"/>
      <c r="C17" s="6"/>
    </row>
    <row r="18" spans="1:3" ht="13.5" thickBot="1">
      <c r="A18" s="22" t="s">
        <v>358</v>
      </c>
      <c r="B18" s="149">
        <f>SUM(B15:B17)</f>
        <v>3000</v>
      </c>
      <c r="C18" s="180"/>
    </row>
    <row r="21" spans="1:2" ht="15.75">
      <c r="A21" s="760" t="s">
        <v>511</v>
      </c>
      <c r="B21" s="760"/>
    </row>
    <row r="22" spans="1:2" ht="15.75">
      <c r="A22" s="113"/>
      <c r="B22" s="113"/>
    </row>
    <row r="23" ht="13.5" thickBot="1">
      <c r="B23" s="7" t="s">
        <v>40</v>
      </c>
    </row>
    <row r="24" spans="1:2" ht="12.75">
      <c r="A24" s="178" t="s">
        <v>41</v>
      </c>
      <c r="B24" s="372" t="s">
        <v>73</v>
      </c>
    </row>
    <row r="25" spans="1:2" ht="13.5" thickBot="1">
      <c r="A25" s="122" t="s">
        <v>357</v>
      </c>
      <c r="B25" s="73">
        <v>700</v>
      </c>
    </row>
    <row r="26" spans="1:2" ht="13.5" thickBot="1">
      <c r="A26" s="22" t="s">
        <v>356</v>
      </c>
      <c r="B26" s="149">
        <f>SUM(B25:B25)</f>
        <v>700</v>
      </c>
    </row>
    <row r="27" ht="13.5" thickBot="1"/>
    <row r="28" spans="1:2" ht="12.75">
      <c r="A28" s="178" t="s">
        <v>41</v>
      </c>
      <c r="B28" s="372" t="s">
        <v>73</v>
      </c>
    </row>
    <row r="29" spans="1:2" ht="13.5" thickBot="1">
      <c r="A29" s="122" t="s">
        <v>637</v>
      </c>
      <c r="B29" s="73">
        <v>700</v>
      </c>
    </row>
    <row r="30" spans="1:2" ht="13.5" thickBot="1">
      <c r="A30" s="22" t="s">
        <v>638</v>
      </c>
      <c r="B30" s="149">
        <f>SUM(B29:B29)</f>
        <v>700</v>
      </c>
    </row>
  </sheetData>
  <sheetProtection/>
  <mergeCells count="2">
    <mergeCell ref="A5:B5"/>
    <mergeCell ref="A21:B21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4:D14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72.375" style="0" bestFit="1" customWidth="1"/>
    <col min="3" max="3" width="9.75390625" style="0" customWidth="1"/>
    <col min="4" max="4" width="14.00390625" style="0" customWidth="1"/>
  </cols>
  <sheetData>
    <row r="4" spans="2:4" ht="52.5" customHeight="1">
      <c r="B4" s="759" t="s">
        <v>500</v>
      </c>
      <c r="C4" s="759"/>
      <c r="D4" s="760"/>
    </row>
    <row r="5" spans="2:4" ht="15.75">
      <c r="B5" s="847" t="s">
        <v>381</v>
      </c>
      <c r="C5" s="847"/>
      <c r="D5" s="847"/>
    </row>
    <row r="6" spans="2:4" ht="15.75">
      <c r="B6" s="294"/>
      <c r="C6" s="294"/>
      <c r="D6" s="294"/>
    </row>
    <row r="7" spans="2:4" s="170" customFormat="1" ht="18" customHeight="1">
      <c r="B7" s="285"/>
      <c r="C7" s="285"/>
      <c r="D7" s="428" t="s">
        <v>382</v>
      </c>
    </row>
    <row r="8" spans="2:4" s="170" customFormat="1" ht="18" customHeight="1">
      <c r="B8" s="285"/>
      <c r="C8" s="285"/>
      <c r="D8" s="289"/>
    </row>
    <row r="9" spans="2:4" ht="13.5" thickBot="1">
      <c r="B9" s="2"/>
      <c r="C9" s="2"/>
      <c r="D9" s="7" t="s">
        <v>301</v>
      </c>
    </row>
    <row r="10" spans="2:4" ht="12.75">
      <c r="B10" s="288" t="s">
        <v>41</v>
      </c>
      <c r="C10" s="284" t="s">
        <v>255</v>
      </c>
      <c r="D10" s="287" t="s">
        <v>73</v>
      </c>
    </row>
    <row r="11" spans="2:4" ht="12.75">
      <c r="B11" s="121" t="s">
        <v>378</v>
      </c>
      <c r="C11" s="281">
        <v>282</v>
      </c>
      <c r="D11" s="72">
        <f>SUM(C11*3500)</f>
        <v>987000</v>
      </c>
    </row>
    <row r="12" spans="2:4" ht="12.75">
      <c r="B12" s="122" t="s">
        <v>379</v>
      </c>
      <c r="C12" s="282">
        <v>158</v>
      </c>
      <c r="D12" s="73">
        <f>SUM(C12*3500)</f>
        <v>553000</v>
      </c>
    </row>
    <row r="13" spans="2:4" ht="13.5" thickBot="1">
      <c r="B13" s="122" t="s">
        <v>380</v>
      </c>
      <c r="C13" s="282">
        <v>137</v>
      </c>
      <c r="D13" s="73">
        <f>SUM(C13*3500)</f>
        <v>479500</v>
      </c>
    </row>
    <row r="14" spans="2:4" ht="13.5" thickBot="1">
      <c r="B14" s="22" t="s">
        <v>361</v>
      </c>
      <c r="C14" s="283">
        <f>SUM(C11:C13)</f>
        <v>577</v>
      </c>
      <c r="D14" s="149">
        <f>SUM(D11:D13)</f>
        <v>2019500</v>
      </c>
    </row>
  </sheetData>
  <sheetProtection/>
  <mergeCells count="2">
    <mergeCell ref="B4:D4"/>
    <mergeCell ref="B5:D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B8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8">
      <c r="B16" s="137"/>
      <c r="C16" s="848" t="s">
        <v>408</v>
      </c>
      <c r="D16" s="848"/>
      <c r="E16" s="848"/>
      <c r="F16" s="848"/>
      <c r="G16" s="848"/>
      <c r="H16" s="848"/>
      <c r="I16" s="137"/>
    </row>
    <row r="17" spans="2:9" ht="60.75" customHeight="1">
      <c r="B17" s="137"/>
      <c r="C17" s="763" t="s">
        <v>179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6:H16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37">
      <selection activeCell="F50" sqref="F50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3" max="3" width="13.875" style="0" bestFit="1" customWidth="1"/>
    <col min="4" max="4" width="12.25390625" style="0" bestFit="1" customWidth="1"/>
  </cols>
  <sheetData>
    <row r="1" spans="1:3" ht="15.75">
      <c r="A1" s="765" t="s">
        <v>569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383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SUM(B8+B15)</f>
        <v>116701</v>
      </c>
    </row>
    <row r="8" spans="1:2" ht="18.75" customHeight="1">
      <c r="A8" s="53" t="s">
        <v>82</v>
      </c>
      <c r="B8" s="145">
        <f>SUM(B9:B14)</f>
        <v>28321</v>
      </c>
    </row>
    <row r="9" spans="1:2" ht="18.75" customHeight="1">
      <c r="A9" s="55" t="s">
        <v>83</v>
      </c>
      <c r="B9" s="72">
        <f>SUM('ÖNK_Int.műk.bev. '!B8)</f>
        <v>0</v>
      </c>
    </row>
    <row r="10" spans="1:2" ht="18.75" customHeight="1">
      <c r="A10" s="55" t="s">
        <v>84</v>
      </c>
      <c r="B10" s="72">
        <f>SUM('ÖNK_Int.műk.bev. '!B9)</f>
        <v>6894</v>
      </c>
    </row>
    <row r="11" spans="1:2" ht="18.75" customHeight="1">
      <c r="A11" s="55" t="s">
        <v>85</v>
      </c>
      <c r="B11" s="72">
        <f>SUM('ÖNK_Int.műk.bev. '!B12)</f>
        <v>0</v>
      </c>
    </row>
    <row r="12" spans="1:2" ht="18.75" customHeight="1">
      <c r="A12" s="55" t="s">
        <v>86</v>
      </c>
      <c r="B12" s="72">
        <f>SUM('ÖNK_Int.műk.bev. '!B13)</f>
        <v>1000</v>
      </c>
    </row>
    <row r="13" spans="1:2" ht="18.75" customHeight="1">
      <c r="A13" s="55" t="s">
        <v>87</v>
      </c>
      <c r="B13" s="72">
        <f>SUM('ÖNK_Int.műk.bev. '!B16)</f>
        <v>0</v>
      </c>
    </row>
    <row r="14" spans="1:2" ht="18.75" customHeight="1">
      <c r="A14" s="55" t="s">
        <v>88</v>
      </c>
      <c r="B14" s="72">
        <f>SUM('ÖNK_Int.műk.bev. '!B19)</f>
        <v>20427</v>
      </c>
    </row>
    <row r="15" spans="1:2" ht="18.75" customHeight="1">
      <c r="A15" s="155" t="s">
        <v>191</v>
      </c>
      <c r="B15" s="145">
        <f>SUM(B16:B20)</f>
        <v>88380</v>
      </c>
    </row>
    <row r="16" spans="1:2" ht="18.75" customHeight="1">
      <c r="A16" s="55" t="s">
        <v>192</v>
      </c>
      <c r="B16" s="72">
        <v>0</v>
      </c>
    </row>
    <row r="17" spans="1:2" ht="18.75" customHeight="1">
      <c r="A17" s="55" t="s">
        <v>193</v>
      </c>
      <c r="B17" s="72">
        <f>SUM('ÖNK_Önk.sajátos műk.bev.'!B6)</f>
        <v>69000</v>
      </c>
    </row>
    <row r="18" spans="1:2" ht="18.75" customHeight="1">
      <c r="A18" s="55" t="s">
        <v>194</v>
      </c>
      <c r="B18" s="72">
        <f>SUM('ÖNK_Önk.sajátos műk.bev.'!B11)</f>
        <v>11220</v>
      </c>
    </row>
    <row r="19" spans="1:2" ht="18.75" customHeight="1">
      <c r="A19" s="55" t="s">
        <v>198</v>
      </c>
      <c r="B19" s="72">
        <f>SUM('ÖNK_Önk.sajátos műk.bev.'!B19)</f>
        <v>600</v>
      </c>
    </row>
    <row r="20" spans="1:2" ht="18.75" customHeight="1">
      <c r="A20" s="55" t="s">
        <v>199</v>
      </c>
      <c r="B20" s="72">
        <f>SUM('ÖNK_Önk.sajátos műk.bev.'!B25)</f>
        <v>7560</v>
      </c>
    </row>
    <row r="21" spans="1:2" s="62" customFormat="1" ht="18.75" customHeight="1">
      <c r="A21" s="60" t="s">
        <v>89</v>
      </c>
      <c r="B21" s="732">
        <f>SUM(B22)</f>
        <v>996748</v>
      </c>
    </row>
    <row r="22" spans="1:3" ht="18.75" customHeight="1">
      <c r="A22" s="158" t="s">
        <v>204</v>
      </c>
      <c r="B22" s="145">
        <f>SUM(B23:B29)</f>
        <v>996748</v>
      </c>
      <c r="C22" s="63"/>
    </row>
    <row r="23" spans="1:2" ht="18.75" customHeight="1">
      <c r="A23" s="64" t="s">
        <v>512</v>
      </c>
      <c r="B23" s="72">
        <f>SUM('ÖNK_költségv.tám.'!B5)</f>
        <v>386861</v>
      </c>
    </row>
    <row r="24" spans="1:2" ht="18.75" customHeight="1">
      <c r="A24" s="55" t="s">
        <v>513</v>
      </c>
      <c r="B24" s="72">
        <f>SUM('ÖNK_költségv.tám.'!B10)</f>
        <v>229733</v>
      </c>
    </row>
    <row r="25" spans="1:2" ht="18.75" customHeight="1">
      <c r="A25" s="55" t="s">
        <v>208</v>
      </c>
      <c r="B25" s="72">
        <f>SUM('ÖNK_költségv.tám.'!B12)</f>
        <v>16654</v>
      </c>
    </row>
    <row r="26" spans="1:3" ht="18.75" customHeight="1">
      <c r="A26" s="156" t="s">
        <v>570</v>
      </c>
      <c r="B26" s="157">
        <f>SUM('ÖNK_költségv.tám.'!B22)</f>
        <v>94789</v>
      </c>
      <c r="C26" s="159"/>
    </row>
    <row r="27" spans="1:3" ht="18.75" customHeight="1">
      <c r="A27" s="156" t="s">
        <v>209</v>
      </c>
      <c r="B27" s="157">
        <f>SUM('ÖNK_költségv.tám.'!B25)</f>
        <v>0</v>
      </c>
      <c r="C27" s="159"/>
    </row>
    <row r="28" spans="1:3" ht="18.75" customHeight="1">
      <c r="A28" s="156" t="s">
        <v>210</v>
      </c>
      <c r="B28" s="157">
        <f>SUM('ÖNK_költségv.tám.'!B26)</f>
        <v>268711</v>
      </c>
      <c r="C28" s="159"/>
    </row>
    <row r="29" spans="1:2" s="59" customFormat="1" ht="18.75" customHeight="1">
      <c r="A29" s="86" t="s">
        <v>205</v>
      </c>
      <c r="B29" s="323">
        <f>SUM('ÖNK_költségv.tám.'!B32)</f>
        <v>0</v>
      </c>
    </row>
    <row r="30" spans="1:2" s="67" customFormat="1" ht="18.75" customHeight="1">
      <c r="A30" s="65" t="s">
        <v>90</v>
      </c>
      <c r="B30" s="325">
        <f>SUM(B31:B32)</f>
        <v>17525</v>
      </c>
    </row>
    <row r="31" spans="1:2" ht="18.75" customHeight="1">
      <c r="A31" s="55" t="s">
        <v>91</v>
      </c>
      <c r="B31" s="72">
        <f>SUM('ÖNK_Felhalmozási és tőke.bev.'!B7)</f>
        <v>3921</v>
      </c>
    </row>
    <row r="32" spans="1:8" ht="18.75" customHeight="1">
      <c r="A32" s="55" t="s">
        <v>211</v>
      </c>
      <c r="B32" s="72">
        <f>SUM('ÖNK_Felhalmozási és tőke.bev.'!B14)</f>
        <v>13604</v>
      </c>
      <c r="C32" s="2"/>
      <c r="D32" s="2"/>
      <c r="E32" s="2"/>
      <c r="F32" s="2"/>
      <c r="G32" s="2"/>
      <c r="H32" s="2"/>
    </row>
    <row r="33" spans="1:8" s="67" customFormat="1" ht="18.75" customHeight="1">
      <c r="A33" s="65" t="s">
        <v>92</v>
      </c>
      <c r="B33" s="325">
        <f>SUM(B34+B35)</f>
        <v>140403</v>
      </c>
      <c r="C33" s="88"/>
      <c r="D33" s="89"/>
      <c r="E33" s="89"/>
      <c r="F33" s="89"/>
      <c r="G33" s="89"/>
      <c r="H33" s="89"/>
    </row>
    <row r="34" spans="1:8" s="59" customFormat="1" ht="18.75" customHeight="1">
      <c r="A34" s="86" t="s">
        <v>93</v>
      </c>
      <c r="B34" s="323">
        <f>SUM('ÖNK_Tám. ért. bev. '!B6)</f>
        <v>137056</v>
      </c>
      <c r="C34" s="326"/>
      <c r="D34" s="253"/>
      <c r="E34" s="253"/>
      <c r="F34" s="253"/>
      <c r="G34" s="253"/>
      <c r="H34" s="253"/>
    </row>
    <row r="35" spans="1:8" s="59" customFormat="1" ht="18.75" customHeight="1">
      <c r="A35" s="86" t="s">
        <v>94</v>
      </c>
      <c r="B35" s="323">
        <f>SUM('ÖNK_Tám. ért. bev. '!B13)</f>
        <v>3347</v>
      </c>
      <c r="C35" s="253"/>
      <c r="D35" s="253"/>
      <c r="E35" s="253"/>
      <c r="F35" s="253"/>
      <c r="G35" s="253"/>
      <c r="H35" s="253"/>
    </row>
    <row r="36" spans="1:8" s="67" customFormat="1" ht="18.75" customHeight="1">
      <c r="A36" s="65" t="s">
        <v>95</v>
      </c>
      <c r="B36" s="325">
        <f>SUM(B37:B38)</f>
        <v>386340</v>
      </c>
      <c r="C36" s="89"/>
      <c r="D36" s="89"/>
      <c r="E36" s="89"/>
      <c r="F36" s="89"/>
      <c r="G36" s="89"/>
      <c r="H36" s="89"/>
    </row>
    <row r="37" spans="1:8" s="59" customFormat="1" ht="18.75" customHeight="1">
      <c r="A37" s="86" t="s">
        <v>96</v>
      </c>
      <c r="B37" s="323">
        <f>SUM('ÖNK_Átvett pe.'!B6)</f>
        <v>31657</v>
      </c>
      <c r="C37" s="253"/>
      <c r="D37" s="253"/>
      <c r="E37" s="253"/>
      <c r="F37" s="253"/>
      <c r="G37" s="253"/>
      <c r="H37" s="253"/>
    </row>
    <row r="38" spans="1:8" s="59" customFormat="1" ht="18.75" customHeight="1" thickBot="1">
      <c r="A38" s="86" t="s">
        <v>97</v>
      </c>
      <c r="B38" s="323">
        <v>354683</v>
      </c>
      <c r="C38" s="253"/>
      <c r="D38" s="253"/>
      <c r="E38" s="253"/>
      <c r="F38" s="253"/>
      <c r="G38" s="253"/>
      <c r="H38" s="253"/>
    </row>
    <row r="39" spans="1:8" s="67" customFormat="1" ht="19.5" customHeight="1" thickBot="1">
      <c r="A39" s="68" t="s">
        <v>66</v>
      </c>
      <c r="B39" s="230">
        <f>SUM(B7+B21+B30+B33+B36)</f>
        <v>1657717</v>
      </c>
      <c r="C39" s="88"/>
      <c r="D39" s="89"/>
      <c r="E39" s="89"/>
      <c r="F39" s="89"/>
      <c r="G39" s="89"/>
      <c r="H39" s="89"/>
    </row>
    <row r="40" spans="1:8" s="67" customFormat="1" ht="32.25" customHeight="1">
      <c r="A40" s="70" t="s">
        <v>98</v>
      </c>
      <c r="B40" s="71">
        <f>SUM(B41+B44)</f>
        <v>35418</v>
      </c>
      <c r="C40" s="89"/>
      <c r="D40" s="89"/>
      <c r="E40" s="89"/>
      <c r="F40" s="89"/>
      <c r="G40" s="89"/>
      <c r="H40" s="89"/>
    </row>
    <row r="41" spans="1:8" ht="18.75" customHeight="1">
      <c r="A41" s="55" t="s">
        <v>99</v>
      </c>
      <c r="B41" s="72">
        <f>SUM(B42+B43)</f>
        <v>35418</v>
      </c>
      <c r="C41" s="2"/>
      <c r="D41" s="2"/>
      <c r="E41" s="2"/>
      <c r="F41" s="2"/>
      <c r="G41" s="2"/>
      <c r="H41" s="2"/>
    </row>
    <row r="42" spans="1:8" ht="18.75" customHeight="1">
      <c r="A42" s="55" t="s">
        <v>100</v>
      </c>
      <c r="B42" s="72">
        <v>35418</v>
      </c>
      <c r="C42" s="2"/>
      <c r="D42" s="2"/>
      <c r="E42" s="2"/>
      <c r="F42" s="2"/>
      <c r="G42" s="2"/>
      <c r="H42" s="2"/>
    </row>
    <row r="43" spans="1:8" ht="18.75" customHeight="1">
      <c r="A43" s="55" t="s">
        <v>101</v>
      </c>
      <c r="B43" s="72">
        <v>0</v>
      </c>
      <c r="C43" s="2"/>
      <c r="D43" s="2"/>
      <c r="E43" s="2"/>
      <c r="F43" s="2"/>
      <c r="G43" s="2"/>
      <c r="H43" s="2"/>
    </row>
    <row r="44" spans="1:8" ht="18.75" customHeight="1" thickBot="1">
      <c r="A44" s="129" t="s">
        <v>102</v>
      </c>
      <c r="B44" s="128">
        <v>0</v>
      </c>
      <c r="C44" s="2"/>
      <c r="D44" s="2"/>
      <c r="E44" s="2"/>
      <c r="F44" s="2"/>
      <c r="G44" s="2"/>
      <c r="H44" s="2"/>
    </row>
    <row r="45" spans="1:8" ht="21" customHeight="1">
      <c r="A45" s="166" t="s">
        <v>226</v>
      </c>
      <c r="B45" s="120">
        <f>SUM(B46+B47+B48+B49)</f>
        <v>69464</v>
      </c>
      <c r="C45" s="2"/>
      <c r="D45" s="2"/>
      <c r="E45" s="2"/>
      <c r="F45" s="2"/>
      <c r="G45" s="2"/>
      <c r="H45" s="2"/>
    </row>
    <row r="46" spans="1:8" s="170" customFormat="1" ht="18.75" customHeight="1">
      <c r="A46" s="168" t="s">
        <v>227</v>
      </c>
      <c r="B46" s="169">
        <v>0</v>
      </c>
      <c r="C46" s="324"/>
      <c r="D46" s="324"/>
      <c r="E46" s="324"/>
      <c r="F46" s="324"/>
      <c r="G46" s="324"/>
      <c r="H46" s="324"/>
    </row>
    <row r="47" spans="1:8" s="170" customFormat="1" ht="18.75" customHeight="1">
      <c r="A47" s="168" t="s">
        <v>228</v>
      </c>
      <c r="B47" s="169">
        <v>0</v>
      </c>
      <c r="C47" s="324"/>
      <c r="D47" s="324"/>
      <c r="E47" s="324"/>
      <c r="F47" s="324"/>
      <c r="G47" s="324"/>
      <c r="H47" s="324"/>
    </row>
    <row r="48" spans="1:8" s="170" customFormat="1" ht="18.75" customHeight="1">
      <c r="A48" s="86" t="s">
        <v>229</v>
      </c>
      <c r="B48" s="157">
        <v>668</v>
      </c>
      <c r="C48" s="324"/>
      <c r="D48" s="324"/>
      <c r="E48" s="324"/>
      <c r="F48" s="324"/>
      <c r="G48" s="324"/>
      <c r="H48" s="324"/>
    </row>
    <row r="49" spans="1:8" s="170" customFormat="1" ht="18.75" customHeight="1">
      <c r="A49" s="86" t="s">
        <v>230</v>
      </c>
      <c r="B49" s="157">
        <f>SUM(B50+B51)</f>
        <v>68796</v>
      </c>
      <c r="C49" s="324"/>
      <c r="D49" s="324"/>
      <c r="E49" s="324"/>
      <c r="F49" s="324"/>
      <c r="G49" s="324"/>
      <c r="H49" s="324"/>
    </row>
    <row r="50" spans="1:8" s="59" customFormat="1" ht="18.75" customHeight="1">
      <c r="A50" s="168" t="s">
        <v>231</v>
      </c>
      <c r="B50" s="165"/>
      <c r="C50" s="253"/>
      <c r="D50" s="253"/>
      <c r="E50" s="253"/>
      <c r="F50" s="253"/>
      <c r="G50" s="253"/>
      <c r="H50" s="253"/>
    </row>
    <row r="51" spans="1:8" s="59" customFormat="1" ht="18.75" customHeight="1" thickBot="1">
      <c r="A51" s="171" t="s">
        <v>232</v>
      </c>
      <c r="B51" s="167">
        <v>68796</v>
      </c>
      <c r="C51" s="253"/>
      <c r="D51" s="253"/>
      <c r="E51" s="253"/>
      <c r="F51" s="253"/>
      <c r="G51" s="253"/>
      <c r="H51" s="253"/>
    </row>
    <row r="52" spans="1:8" s="67" customFormat="1" ht="18.75" customHeight="1" thickBot="1">
      <c r="A52" s="74" t="s">
        <v>277</v>
      </c>
      <c r="B52" s="71">
        <v>0</v>
      </c>
      <c r="C52" s="89"/>
      <c r="D52" s="89"/>
      <c r="E52" s="89"/>
      <c r="F52" s="89"/>
      <c r="G52" s="89"/>
      <c r="H52" s="89"/>
    </row>
    <row r="53" spans="1:8" s="78" customFormat="1" ht="18.75" customHeight="1" thickBot="1">
      <c r="A53" s="76" t="s">
        <v>103</v>
      </c>
      <c r="B53" s="231">
        <f>SUM(B39+B40+B45+B52)</f>
        <v>1762599</v>
      </c>
      <c r="C53" s="327"/>
      <c r="D53" s="328"/>
      <c r="E53" s="328"/>
      <c r="F53" s="328"/>
      <c r="G53" s="328"/>
      <c r="H53" s="328"/>
    </row>
    <row r="54" spans="3:8" ht="12.75">
      <c r="C54" s="2"/>
      <c r="D54" s="2"/>
      <c r="E54" s="2"/>
      <c r="F54" s="2"/>
      <c r="G54" s="2"/>
      <c r="H54" s="2"/>
    </row>
    <row r="55" spans="2:8" ht="12.75">
      <c r="B55" s="97"/>
      <c r="C55" s="2"/>
      <c r="D55" s="2"/>
      <c r="E55" s="2"/>
      <c r="F55" s="2"/>
      <c r="G55" s="2"/>
      <c r="H55" s="2"/>
    </row>
    <row r="56" spans="3:8" ht="12.75">
      <c r="C56" s="2"/>
      <c r="D56" s="2"/>
      <c r="E56" s="2"/>
      <c r="F56" s="2"/>
      <c r="G56" s="2"/>
      <c r="H56" s="2"/>
    </row>
    <row r="57" spans="2:8" ht="12.75">
      <c r="B57" s="27"/>
      <c r="C57" s="2"/>
      <c r="D57" s="2"/>
      <c r="E57" s="2"/>
      <c r="F57" s="2"/>
      <c r="G57" s="2"/>
      <c r="H57" s="2"/>
    </row>
    <row r="58" spans="2:8" ht="12.75">
      <c r="B58" s="27"/>
      <c r="C58" s="2"/>
      <c r="D58" s="2"/>
      <c r="E58" s="2"/>
      <c r="F58" s="2"/>
      <c r="G58" s="2"/>
      <c r="H58" s="2"/>
    </row>
    <row r="59" spans="3:8" ht="12.75">
      <c r="C59" s="2"/>
      <c r="D59" s="2"/>
      <c r="E59" s="2"/>
      <c r="F59" s="2"/>
      <c r="G59" s="2"/>
      <c r="H59" s="2"/>
    </row>
    <row r="60" spans="3:8" ht="12.75">
      <c r="C60" s="2"/>
      <c r="D60" s="2"/>
      <c r="E60" s="2"/>
      <c r="F60" s="2"/>
      <c r="G60" s="2"/>
      <c r="H60" s="2"/>
    </row>
    <row r="61" spans="3:8" ht="12.75">
      <c r="C61" s="2"/>
      <c r="D61" s="2"/>
      <c r="E61" s="2"/>
      <c r="F61" s="2"/>
      <c r="G61" s="2"/>
      <c r="H61" s="2"/>
    </row>
    <row r="62" spans="3:8" ht="12.75">
      <c r="C62" s="2"/>
      <c r="D62" s="2"/>
      <c r="E62" s="2"/>
      <c r="F62" s="2"/>
      <c r="G62" s="2"/>
      <c r="H62" s="2"/>
    </row>
    <row r="63" spans="3:8" ht="12.75">
      <c r="C63" s="2"/>
      <c r="D63" s="2"/>
      <c r="E63" s="2"/>
      <c r="F63" s="2"/>
      <c r="G63" s="2"/>
      <c r="H63" s="2"/>
    </row>
    <row r="64" spans="3:8" ht="12.75">
      <c r="C64" s="2"/>
      <c r="D64" s="2"/>
      <c r="E64" s="2"/>
      <c r="F64" s="2"/>
      <c r="G64" s="2"/>
      <c r="H64" s="2"/>
    </row>
    <row r="65" spans="3:8" ht="12.75">
      <c r="C65" s="2"/>
      <c r="D65" s="2"/>
      <c r="E65" s="2"/>
      <c r="F65" s="2"/>
      <c r="G65" s="2"/>
      <c r="H65" s="2"/>
    </row>
    <row r="66" spans="3:8" ht="12.75">
      <c r="C66" s="2"/>
      <c r="D66" s="2"/>
      <c r="E66" s="2"/>
      <c r="F66" s="2"/>
      <c r="G66" s="2"/>
      <c r="H66" s="2"/>
    </row>
    <row r="67" spans="3:8" ht="12.75">
      <c r="C67" s="2"/>
      <c r="D67" s="2"/>
      <c r="E67" s="2"/>
      <c r="F67" s="2"/>
      <c r="G67" s="2"/>
      <c r="H67" s="2"/>
    </row>
    <row r="68" spans="3:8" ht="12.75">
      <c r="C68" s="2"/>
      <c r="D68" s="2"/>
      <c r="E68" s="2"/>
      <c r="F68" s="2"/>
      <c r="G68" s="2"/>
      <c r="H68" s="2"/>
    </row>
    <row r="69" spans="3:8" ht="12.75">
      <c r="C69" s="2"/>
      <c r="D69" s="2"/>
      <c r="E69" s="2"/>
      <c r="F69" s="2"/>
      <c r="G69" s="2"/>
      <c r="H69" s="2"/>
    </row>
    <row r="70" spans="3:8" ht="12.75">
      <c r="C70" s="2"/>
      <c r="D70" s="2"/>
      <c r="E70" s="2"/>
      <c r="F70" s="2"/>
      <c r="G70" s="2"/>
      <c r="H70" s="2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75" zoomScaleNormal="75" zoomScalePageLayoutView="0" workbookViewId="0" topLeftCell="A13">
      <selection activeCell="D22" sqref="D22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4" width="9.125" style="2" customWidth="1"/>
    <col min="5" max="5" width="9.25390625" style="2" bestFit="1" customWidth="1"/>
    <col min="6" max="6" width="9.125" style="2" customWidth="1"/>
  </cols>
  <sheetData>
    <row r="1" spans="1:2" ht="20.25">
      <c r="A1" s="28"/>
      <c r="B1" s="28"/>
    </row>
    <row r="2" spans="1:2" ht="43.5" customHeight="1">
      <c r="A2" s="767" t="s">
        <v>571</v>
      </c>
      <c r="B2" s="768"/>
    </row>
    <row r="3" spans="1:2" ht="19.5" customHeight="1">
      <c r="A3" s="278"/>
      <c r="B3" s="28"/>
    </row>
    <row r="4" spans="1:2" ht="15.75">
      <c r="A4" s="29"/>
      <c r="B4" s="286" t="s">
        <v>384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6" s="18" customFormat="1" ht="24.75" customHeight="1">
      <c r="A8" s="440" t="s">
        <v>104</v>
      </c>
      <c r="B8" s="441">
        <v>0</v>
      </c>
      <c r="C8" s="17"/>
      <c r="D8" s="17"/>
      <c r="E8" s="17"/>
      <c r="F8" s="17"/>
    </row>
    <row r="9" spans="1:6" s="18" customFormat="1" ht="24.75" customHeight="1">
      <c r="A9" s="442" t="s">
        <v>105</v>
      </c>
      <c r="B9" s="443">
        <f>SUM(B10:B11)</f>
        <v>6894</v>
      </c>
      <c r="C9" s="17"/>
      <c r="D9" s="17"/>
      <c r="E9" s="17"/>
      <c r="F9" s="17"/>
    </row>
    <row r="10" spans="1:6" s="367" customFormat="1" ht="24.75" customHeight="1">
      <c r="A10" s="41" t="s">
        <v>178</v>
      </c>
      <c r="B10" s="40">
        <v>6500</v>
      </c>
      <c r="C10" s="366"/>
      <c r="D10" s="366"/>
      <c r="E10" s="366"/>
      <c r="F10" s="366"/>
    </row>
    <row r="11" spans="1:6" s="367" customFormat="1" ht="24.75" customHeight="1">
      <c r="A11" s="41" t="s">
        <v>492</v>
      </c>
      <c r="B11" s="40">
        <v>394</v>
      </c>
      <c r="C11" s="366"/>
      <c r="D11" s="366"/>
      <c r="E11" s="366"/>
      <c r="F11" s="366"/>
    </row>
    <row r="12" spans="1:6" s="18" customFormat="1" ht="24.75" customHeight="1">
      <c r="A12" s="444" t="s">
        <v>163</v>
      </c>
      <c r="B12" s="443">
        <v>0</v>
      </c>
      <c r="C12" s="17"/>
      <c r="D12" s="17"/>
      <c r="E12" s="17"/>
      <c r="F12" s="17"/>
    </row>
    <row r="13" spans="1:2" ht="24.75" customHeight="1">
      <c r="A13" s="444" t="s">
        <v>107</v>
      </c>
      <c r="B13" s="443">
        <f>SUM(B14:B15)</f>
        <v>1000</v>
      </c>
    </row>
    <row r="14" spans="1:2" ht="24.75" customHeight="1">
      <c r="A14" s="214" t="s">
        <v>58</v>
      </c>
      <c r="B14" s="40">
        <v>0</v>
      </c>
    </row>
    <row r="15" spans="1:6" s="367" customFormat="1" ht="24.75" customHeight="1">
      <c r="A15" s="214" t="s">
        <v>59</v>
      </c>
      <c r="B15" s="40">
        <v>1000</v>
      </c>
      <c r="C15" s="366"/>
      <c r="D15" s="366"/>
      <c r="E15" s="366"/>
      <c r="F15" s="366"/>
    </row>
    <row r="16" spans="1:2" ht="24.75" customHeight="1">
      <c r="A16" s="444" t="s">
        <v>108</v>
      </c>
      <c r="B16" s="443">
        <f>SUM(B17:B18)</f>
        <v>0</v>
      </c>
    </row>
    <row r="17" spans="1:2" ht="24.75" customHeight="1">
      <c r="A17" s="41" t="s">
        <v>60</v>
      </c>
      <c r="B17" s="40">
        <v>0</v>
      </c>
    </row>
    <row r="18" spans="1:2" ht="24.75" customHeight="1">
      <c r="A18" s="41" t="s">
        <v>61</v>
      </c>
      <c r="B18" s="40">
        <v>0</v>
      </c>
    </row>
    <row r="19" spans="1:6" s="18" customFormat="1" ht="24.75" customHeight="1">
      <c r="A19" s="444" t="s">
        <v>109</v>
      </c>
      <c r="B19" s="443">
        <f>SUM(B20:B23)</f>
        <v>20427</v>
      </c>
      <c r="C19" s="17"/>
      <c r="D19" s="17"/>
      <c r="E19" s="17"/>
      <c r="F19" s="17"/>
    </row>
    <row r="20" spans="1:6" s="367" customFormat="1" ht="24.75" customHeight="1">
      <c r="A20" s="41" t="s">
        <v>62</v>
      </c>
      <c r="B20" s="40">
        <v>17756</v>
      </c>
      <c r="C20" s="366"/>
      <c r="D20" s="366"/>
      <c r="E20" s="366"/>
      <c r="F20" s="366"/>
    </row>
    <row r="21" spans="1:2" ht="24.75" customHeight="1">
      <c r="A21" s="41" t="s">
        <v>63</v>
      </c>
      <c r="B21" s="40">
        <v>0</v>
      </c>
    </row>
    <row r="22" spans="1:6" s="367" customFormat="1" ht="24.75" customHeight="1">
      <c r="A22" s="41" t="s">
        <v>64</v>
      </c>
      <c r="B22" s="40">
        <v>2131</v>
      </c>
      <c r="C22" s="366"/>
      <c r="D22" s="733"/>
      <c r="E22" s="366"/>
      <c r="F22" s="366"/>
    </row>
    <row r="23" spans="1:2" ht="24.75" customHeight="1">
      <c r="A23" s="41" t="s">
        <v>65</v>
      </c>
      <c r="B23" s="40">
        <v>540</v>
      </c>
    </row>
    <row r="24" spans="1:2" ht="24.75" customHeight="1" thickBot="1">
      <c r="A24" s="445"/>
      <c r="B24" s="446"/>
    </row>
    <row r="25" spans="1:6" s="18" customFormat="1" ht="24.75" customHeight="1" thickBot="1">
      <c r="A25" s="183" t="s">
        <v>110</v>
      </c>
      <c r="B25" s="447">
        <f>+B8+B9+B12+B13+B16+B19</f>
        <v>28321</v>
      </c>
      <c r="C25" s="17"/>
      <c r="D25" s="17"/>
      <c r="E25" s="17"/>
      <c r="F2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9.125" style="324" bestFit="1" customWidth="1"/>
    <col min="2" max="2" width="13.75390625" style="420" customWidth="1"/>
    <col min="3" max="5" width="9.125" style="2" customWidth="1"/>
  </cols>
  <sheetData>
    <row r="1" spans="1:3" ht="38.25" customHeight="1">
      <c r="A1" s="769" t="s">
        <v>572</v>
      </c>
      <c r="B1" s="769"/>
      <c r="C1" s="150"/>
    </row>
    <row r="2" ht="12.75">
      <c r="B2" s="439"/>
    </row>
    <row r="3" spans="1:3" ht="12" customHeight="1">
      <c r="A3" s="849" t="s">
        <v>385</v>
      </c>
      <c r="B3" s="849"/>
      <c r="C3" s="151"/>
    </row>
    <row r="4" ht="21" customHeight="1" thickBot="1">
      <c r="B4" s="439" t="s">
        <v>40</v>
      </c>
    </row>
    <row r="5" spans="1:2" ht="26.25" thickBot="1">
      <c r="A5" s="449" t="s">
        <v>41</v>
      </c>
      <c r="B5" s="450" t="s">
        <v>528</v>
      </c>
    </row>
    <row r="6" spans="1:2" ht="16.5" customHeight="1">
      <c r="A6" s="451" t="s">
        <v>193</v>
      </c>
      <c r="B6" s="304">
        <f>SUM(B7:B9)</f>
        <v>69000</v>
      </c>
    </row>
    <row r="7" spans="1:5" s="332" customFormat="1" ht="16.5" customHeight="1">
      <c r="A7" s="156" t="s">
        <v>180</v>
      </c>
      <c r="B7" s="157">
        <v>11000</v>
      </c>
      <c r="C7" s="331"/>
      <c r="D7" s="331"/>
      <c r="E7" s="331"/>
    </row>
    <row r="8" spans="1:2" ht="16.5" customHeight="1">
      <c r="A8" s="156" t="s">
        <v>181</v>
      </c>
      <c r="B8" s="157">
        <v>0</v>
      </c>
    </row>
    <row r="9" spans="1:5" s="332" customFormat="1" ht="16.5" customHeight="1">
      <c r="A9" s="156" t="s">
        <v>182</v>
      </c>
      <c r="B9" s="157">
        <v>58000</v>
      </c>
      <c r="C9" s="331"/>
      <c r="D9" s="331"/>
      <c r="E9" s="331"/>
    </row>
    <row r="10" spans="1:2" ht="16.5" customHeight="1">
      <c r="A10" s="156"/>
      <c r="B10" s="157"/>
    </row>
    <row r="11" spans="1:2" ht="16.5" customHeight="1">
      <c r="A11" s="144" t="s">
        <v>194</v>
      </c>
      <c r="B11" s="145">
        <f>SUM(B12:B17)</f>
        <v>11220</v>
      </c>
    </row>
    <row r="12" spans="1:5" s="332" customFormat="1" ht="16.5" customHeight="1">
      <c r="A12" s="156" t="s">
        <v>183</v>
      </c>
      <c r="B12" s="157">
        <v>0</v>
      </c>
      <c r="C12" s="331"/>
      <c r="D12" s="333"/>
      <c r="E12" s="331"/>
    </row>
    <row r="13" spans="1:5" s="332" customFormat="1" ht="16.5" customHeight="1">
      <c r="A13" s="156" t="s">
        <v>184</v>
      </c>
      <c r="B13" s="157">
        <v>0</v>
      </c>
      <c r="C13" s="331"/>
      <c r="D13" s="331"/>
      <c r="E13" s="331"/>
    </row>
    <row r="14" spans="1:5" s="332" customFormat="1" ht="16.5" customHeight="1">
      <c r="A14" s="156" t="s">
        <v>185</v>
      </c>
      <c r="B14" s="157">
        <v>0</v>
      </c>
      <c r="C14" s="331"/>
      <c r="D14" s="331"/>
      <c r="E14" s="331"/>
    </row>
    <row r="15" spans="1:7" s="2" customFormat="1" ht="16.5" customHeight="1">
      <c r="A15" s="156" t="s">
        <v>197</v>
      </c>
      <c r="B15" s="157">
        <v>11220</v>
      </c>
      <c r="F15"/>
      <c r="G15"/>
    </row>
    <row r="16" spans="1:7" s="2" customFormat="1" ht="16.5" customHeight="1">
      <c r="A16" s="156" t="s">
        <v>186</v>
      </c>
      <c r="B16" s="157">
        <v>0</v>
      </c>
      <c r="F16"/>
      <c r="G16"/>
    </row>
    <row r="17" spans="1:7" s="2" customFormat="1" ht="16.5" customHeight="1">
      <c r="A17" s="156" t="s">
        <v>187</v>
      </c>
      <c r="B17" s="157">
        <v>0</v>
      </c>
      <c r="F17"/>
      <c r="G17"/>
    </row>
    <row r="18" spans="1:7" s="2" customFormat="1" ht="16.5" customHeight="1">
      <c r="A18" s="156"/>
      <c r="B18" s="157"/>
      <c r="F18"/>
      <c r="G18"/>
    </row>
    <row r="19" spans="1:7" s="2" customFormat="1" ht="16.5" customHeight="1">
      <c r="A19" s="144" t="s">
        <v>198</v>
      </c>
      <c r="B19" s="145">
        <f>SUM(B20:B23)</f>
        <v>600</v>
      </c>
      <c r="F19"/>
      <c r="G19"/>
    </row>
    <row r="20" spans="1:5" s="332" customFormat="1" ht="16.5" customHeight="1">
      <c r="A20" s="156" t="s">
        <v>195</v>
      </c>
      <c r="B20" s="157">
        <v>600</v>
      </c>
      <c r="C20" s="331"/>
      <c r="D20" s="331"/>
      <c r="E20" s="331"/>
    </row>
    <row r="21" spans="1:2" ht="16.5" customHeight="1">
      <c r="A21" s="156" t="s">
        <v>196</v>
      </c>
      <c r="B21" s="157">
        <v>0</v>
      </c>
    </row>
    <row r="22" spans="1:7" s="2" customFormat="1" ht="16.5" customHeight="1">
      <c r="A22" s="156" t="s">
        <v>200</v>
      </c>
      <c r="B22" s="157">
        <v>0</v>
      </c>
      <c r="F22"/>
      <c r="G22"/>
    </row>
    <row r="23" spans="1:7" s="2" customFormat="1" ht="16.5" customHeight="1">
      <c r="A23" s="156" t="s">
        <v>201</v>
      </c>
      <c r="B23" s="157">
        <v>0</v>
      </c>
      <c r="F23"/>
      <c r="G23"/>
    </row>
    <row r="24" spans="1:7" s="2" customFormat="1" ht="16.5" customHeight="1">
      <c r="A24" s="156"/>
      <c r="B24" s="157"/>
      <c r="F24"/>
      <c r="G24"/>
    </row>
    <row r="25" spans="1:7" s="2" customFormat="1" ht="16.5" customHeight="1">
      <c r="A25" s="144" t="s">
        <v>199</v>
      </c>
      <c r="B25" s="145">
        <f>SUM(B26:B30)</f>
        <v>7560</v>
      </c>
      <c r="C25" s="27"/>
      <c r="F25"/>
      <c r="G25"/>
    </row>
    <row r="26" spans="1:7" s="331" customFormat="1" ht="16.5" customHeight="1">
      <c r="A26" s="156" t="s">
        <v>202</v>
      </c>
      <c r="B26" s="157">
        <v>60</v>
      </c>
      <c r="F26" s="332"/>
      <c r="G26" s="332"/>
    </row>
    <row r="27" spans="1:7" s="331" customFormat="1" ht="16.5" customHeight="1">
      <c r="A27" s="156" t="s">
        <v>203</v>
      </c>
      <c r="B27" s="157">
        <v>2300</v>
      </c>
      <c r="F27" s="332"/>
      <c r="G27" s="332"/>
    </row>
    <row r="28" spans="1:7" s="331" customFormat="1" ht="16.5" customHeight="1">
      <c r="A28" s="156" t="s">
        <v>188</v>
      </c>
      <c r="B28" s="734">
        <v>5200</v>
      </c>
      <c r="F28" s="332"/>
      <c r="G28" s="332"/>
    </row>
    <row r="29" spans="1:7" s="2" customFormat="1" ht="16.5" customHeight="1">
      <c r="A29" s="156" t="s">
        <v>189</v>
      </c>
      <c r="B29" s="157">
        <v>0</v>
      </c>
      <c r="F29"/>
      <c r="G29"/>
    </row>
    <row r="30" spans="1:7" s="2" customFormat="1" ht="16.5" customHeight="1" thickBot="1">
      <c r="A30" s="217" t="s">
        <v>190</v>
      </c>
      <c r="B30" s="452">
        <v>0</v>
      </c>
      <c r="F30"/>
      <c r="G30"/>
    </row>
    <row r="31" spans="1:7" s="2" customFormat="1" ht="18.75" customHeight="1" thickBot="1">
      <c r="A31" s="22" t="s">
        <v>206</v>
      </c>
      <c r="B31" s="149">
        <f>SUM(B6+B11+B19+B25)</f>
        <v>88380</v>
      </c>
      <c r="F31"/>
      <c r="G31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F10" sqref="F10"/>
    </sheetView>
  </sheetViews>
  <sheetFormatPr defaultColWidth="9.00390625" defaultRowHeight="12.75"/>
  <cols>
    <col min="1" max="1" width="68.75390625" style="324" bestFit="1" customWidth="1"/>
    <col min="2" max="2" width="12.625" style="420" customWidth="1"/>
    <col min="3" max="3" width="13.75390625" style="2" bestFit="1" customWidth="1"/>
  </cols>
  <sheetData>
    <row r="1" spans="1:2" ht="32.25" customHeight="1">
      <c r="A1" s="771" t="s">
        <v>573</v>
      </c>
      <c r="B1" s="772"/>
    </row>
    <row r="2" spans="1:3" ht="26.25" customHeight="1">
      <c r="A2" s="850" t="s">
        <v>386</v>
      </c>
      <c r="B2" s="850"/>
      <c r="C2" s="151"/>
    </row>
    <row r="3" spans="1:3" ht="13.5" thickBot="1">
      <c r="A3" s="453"/>
      <c r="B3" s="297" t="s">
        <v>40</v>
      </c>
      <c r="C3" s="90"/>
    </row>
    <row r="4" spans="1:5" ht="26.25" thickBot="1">
      <c r="A4" s="449" t="s">
        <v>41</v>
      </c>
      <c r="B4" s="450" t="s">
        <v>526</v>
      </c>
      <c r="D4" s="2"/>
      <c r="E4" s="2"/>
    </row>
    <row r="5" spans="1:5" ht="23.25" customHeight="1">
      <c r="A5" s="451" t="s">
        <v>473</v>
      </c>
      <c r="B5" s="304">
        <f>SUM(B6:B9)</f>
        <v>386861</v>
      </c>
      <c r="C5" s="159"/>
      <c r="D5" s="2"/>
      <c r="E5" s="2"/>
    </row>
    <row r="6" spans="1:5" ht="23.25" customHeight="1">
      <c r="A6" s="156" t="s">
        <v>16</v>
      </c>
      <c r="B6" s="157">
        <v>157866</v>
      </c>
      <c r="C6" s="159"/>
      <c r="D6" s="2"/>
      <c r="E6" s="2"/>
    </row>
    <row r="7" spans="1:5" ht="23.25" customHeight="1">
      <c r="A7" s="156" t="s">
        <v>470</v>
      </c>
      <c r="B7" s="157">
        <f>141198+4210-8290+408</f>
        <v>137526</v>
      </c>
      <c r="C7" s="159"/>
      <c r="D7" s="2"/>
      <c r="E7" s="2"/>
    </row>
    <row r="8" spans="1:5" ht="23.25" customHeight="1">
      <c r="A8" s="156" t="s">
        <v>471</v>
      </c>
      <c r="B8" s="157">
        <v>83413</v>
      </c>
      <c r="C8" s="729"/>
      <c r="D8" s="2"/>
      <c r="E8" s="2"/>
    </row>
    <row r="9" spans="1:5" ht="23.25" customHeight="1">
      <c r="A9" s="156" t="s">
        <v>472</v>
      </c>
      <c r="B9" s="157">
        <v>8056</v>
      </c>
      <c r="C9" s="159"/>
      <c r="D9" s="2"/>
      <c r="E9" s="2"/>
    </row>
    <row r="10" spans="1:5" ht="23.25" customHeight="1">
      <c r="A10" s="144" t="s">
        <v>474</v>
      </c>
      <c r="B10" s="145">
        <f>SUM(B11)</f>
        <v>229733</v>
      </c>
      <c r="C10" s="159"/>
      <c r="D10" s="2"/>
      <c r="E10" s="2"/>
    </row>
    <row r="11" spans="1:5" ht="23.25" customHeight="1">
      <c r="A11" s="156" t="s">
        <v>471</v>
      </c>
      <c r="B11" s="157">
        <v>229733</v>
      </c>
      <c r="C11" s="729"/>
      <c r="D11" s="2"/>
      <c r="E11" s="2"/>
    </row>
    <row r="12" spans="1:5" ht="23.25" customHeight="1">
      <c r="A12" s="144" t="s">
        <v>208</v>
      </c>
      <c r="B12" s="454">
        <f>SUM(B13:B21)</f>
        <v>16654</v>
      </c>
      <c r="C12" s="159"/>
      <c r="D12" s="2"/>
      <c r="E12" s="2"/>
    </row>
    <row r="13" spans="1:5" ht="28.5" customHeight="1">
      <c r="A13" s="455" t="s">
        <v>465</v>
      </c>
      <c r="B13" s="456">
        <v>0</v>
      </c>
      <c r="C13" s="159"/>
      <c r="D13" s="2"/>
      <c r="E13" s="2"/>
    </row>
    <row r="14" spans="1:5" ht="23.25" customHeight="1">
      <c r="A14" s="455" t="s">
        <v>466</v>
      </c>
      <c r="B14" s="456">
        <v>0</v>
      </c>
      <c r="C14" s="159"/>
      <c r="D14" s="2"/>
      <c r="E14" s="2"/>
    </row>
    <row r="15" spans="1:5" ht="27.75" customHeight="1">
      <c r="A15" s="455" t="s">
        <v>467</v>
      </c>
      <c r="B15" s="456">
        <v>0</v>
      </c>
      <c r="C15" s="159"/>
      <c r="D15" s="2"/>
      <c r="E15" s="2"/>
    </row>
    <row r="16" spans="1:5" ht="23.25" customHeight="1">
      <c r="A16" s="455" t="s">
        <v>468</v>
      </c>
      <c r="B16" s="456">
        <v>9099</v>
      </c>
      <c r="C16" s="159"/>
      <c r="D16" s="2"/>
      <c r="E16" s="2"/>
    </row>
    <row r="17" spans="1:5" ht="23.25" customHeight="1">
      <c r="A17" s="455" t="s">
        <v>469</v>
      </c>
      <c r="B17" s="456">
        <v>0</v>
      </c>
      <c r="C17" s="159"/>
      <c r="D17" s="2"/>
      <c r="E17" s="2"/>
    </row>
    <row r="18" spans="1:5" ht="23.25" customHeight="1">
      <c r="A18" s="455" t="s">
        <v>12</v>
      </c>
      <c r="B18" s="456">
        <v>0</v>
      </c>
      <c r="C18" s="159"/>
      <c r="D18" s="2"/>
      <c r="E18" s="2"/>
    </row>
    <row r="19" spans="1:5" ht="23.25" customHeight="1">
      <c r="A19" s="455" t="s">
        <v>13</v>
      </c>
      <c r="B19" s="456">
        <v>0</v>
      </c>
      <c r="C19" s="159"/>
      <c r="D19" s="2"/>
      <c r="E19" s="2"/>
    </row>
    <row r="20" spans="1:5" ht="23.25" customHeight="1">
      <c r="A20" s="455" t="s">
        <v>14</v>
      </c>
      <c r="B20" s="456">
        <v>7532</v>
      </c>
      <c r="C20" s="159"/>
      <c r="D20" s="2"/>
      <c r="E20" s="2"/>
    </row>
    <row r="21" spans="1:5" ht="23.25" customHeight="1">
      <c r="A21" s="455" t="s">
        <v>15</v>
      </c>
      <c r="B21" s="456">
        <v>23</v>
      </c>
      <c r="C21" s="159"/>
      <c r="D21" s="2"/>
      <c r="E21" s="2"/>
    </row>
    <row r="22" spans="1:5" ht="23.25" customHeight="1">
      <c r="A22" s="144" t="s">
        <v>475</v>
      </c>
      <c r="B22" s="145">
        <f>SUM(B23:B24)</f>
        <v>94789</v>
      </c>
      <c r="C22" s="159"/>
      <c r="D22" s="2"/>
      <c r="E22" s="2"/>
    </row>
    <row r="23" spans="1:5" s="59" customFormat="1" ht="23.25" customHeight="1">
      <c r="A23" s="156" t="s">
        <v>515</v>
      </c>
      <c r="B23" s="157">
        <f>90015+500-216-522-10990+845-6524+1212-3207+400+243+29+13-4100+8290-408</f>
        <v>75580</v>
      </c>
      <c r="C23" s="160"/>
      <c r="D23" s="253"/>
      <c r="E23" s="253"/>
    </row>
    <row r="24" spans="1:5" s="59" customFormat="1" ht="23.25" customHeight="1">
      <c r="A24" s="156" t="s">
        <v>514</v>
      </c>
      <c r="B24" s="157">
        <f>4466+6524-1212+6524+2907</f>
        <v>19209</v>
      </c>
      <c r="C24" s="160"/>
      <c r="D24" s="253"/>
      <c r="E24" s="253"/>
    </row>
    <row r="25" spans="1:5" ht="23.25" customHeight="1">
      <c r="A25" s="144" t="s">
        <v>209</v>
      </c>
      <c r="B25" s="145">
        <v>0</v>
      </c>
      <c r="C25" s="159"/>
      <c r="D25" s="2"/>
      <c r="E25" s="2"/>
    </row>
    <row r="26" spans="1:5" ht="23.25" customHeight="1">
      <c r="A26" s="144" t="s">
        <v>210</v>
      </c>
      <c r="B26" s="145">
        <f>SUM(B27:B31)</f>
        <v>268711</v>
      </c>
      <c r="C26" s="159"/>
      <c r="D26" s="2"/>
      <c r="E26" s="2"/>
    </row>
    <row r="27" spans="1:5" s="59" customFormat="1" ht="23.25" customHeight="1">
      <c r="A27" s="217" t="s">
        <v>476</v>
      </c>
      <c r="B27" s="452">
        <v>4604</v>
      </c>
      <c r="C27" s="160"/>
      <c r="D27" s="253"/>
      <c r="E27" s="253"/>
    </row>
    <row r="28" spans="1:5" s="59" customFormat="1" ht="23.25" customHeight="1">
      <c r="A28" s="122" t="s">
        <v>738</v>
      </c>
      <c r="B28" s="452">
        <v>37734</v>
      </c>
      <c r="C28" s="160"/>
      <c r="D28" s="253"/>
      <c r="E28" s="253"/>
    </row>
    <row r="29" spans="1:5" s="59" customFormat="1" ht="23.25" customHeight="1">
      <c r="A29" s="122" t="s">
        <v>739</v>
      </c>
      <c r="B29" s="452">
        <v>213132</v>
      </c>
      <c r="C29" s="160"/>
      <c r="D29" s="253"/>
      <c r="E29" s="253"/>
    </row>
    <row r="30" spans="1:5" s="59" customFormat="1" ht="23.25" customHeight="1">
      <c r="A30" s="122" t="s">
        <v>6</v>
      </c>
      <c r="B30" s="452">
        <v>12760</v>
      </c>
      <c r="C30" s="160"/>
      <c r="D30" s="253"/>
      <c r="E30" s="253"/>
    </row>
    <row r="31" spans="1:5" s="59" customFormat="1" ht="23.25" customHeight="1">
      <c r="A31" s="217" t="s">
        <v>477</v>
      </c>
      <c r="B31" s="452">
        <v>481</v>
      </c>
      <c r="C31" s="160"/>
      <c r="D31" s="253"/>
      <c r="E31" s="253"/>
    </row>
    <row r="32" spans="1:3" s="18" customFormat="1" ht="22.5" customHeight="1" thickBot="1">
      <c r="A32" s="457" t="s">
        <v>205</v>
      </c>
      <c r="B32" s="458">
        <v>0</v>
      </c>
      <c r="C32" s="160"/>
    </row>
    <row r="33" spans="1:3" ht="23.25" customHeight="1" thickBot="1">
      <c r="A33" s="22" t="s">
        <v>207</v>
      </c>
      <c r="B33" s="149">
        <f>SUM(B5+B10+B12+B22+B25+B26+B32)</f>
        <v>996748</v>
      </c>
      <c r="C33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525</v>
      </c>
      <c r="B2" s="768"/>
    </row>
    <row r="3" spans="1:2" ht="43.5" customHeight="1">
      <c r="A3" s="278"/>
      <c r="B3" s="28"/>
    </row>
    <row r="4" spans="1:2" ht="15.75">
      <c r="A4" s="29"/>
      <c r="B4" s="286" t="s">
        <v>363</v>
      </c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526</v>
      </c>
    </row>
    <row r="8" spans="1:3" s="18" customFormat="1" ht="24.75" customHeight="1">
      <c r="A8" s="213" t="s">
        <v>104</v>
      </c>
      <c r="B8" s="215">
        <f>SUM('ÖNK_Int.műk.bev. '!B8+'PH_Int.műk.bev.'!B8+'GAM_Int.műk.bev.'!B8+'ILMKInt.műk.bev.'!B8)</f>
        <v>300</v>
      </c>
      <c r="C8" s="17"/>
    </row>
    <row r="9" spans="1:3" s="18" customFormat="1" ht="24.75" customHeight="1">
      <c r="A9" s="214" t="s">
        <v>105</v>
      </c>
      <c r="B9" s="40">
        <f>SUM('ÖNK_Int.műk.bev. '!B9+'PH_Int.műk.bev.'!B12+'GAM_Int.műk.bev.'!B9+'ILMKInt.műk.bev.'!B9)</f>
        <v>17793</v>
      </c>
      <c r="C9" s="17"/>
    </row>
    <row r="10" spans="1:3" s="18" customFormat="1" ht="24.75" customHeight="1">
      <c r="A10" s="41" t="s">
        <v>163</v>
      </c>
      <c r="B10" s="40">
        <f>SUM('ÖNK_Int.műk.bev. '!B12+'PH_Int.műk.bev.'!B15+'GAM_Int.műk.bev.'!B15+'ILMKInt.műk.bev.'!B20)</f>
        <v>29472</v>
      </c>
      <c r="C10" s="17"/>
    </row>
    <row r="11" spans="1:2" ht="24.75" customHeight="1">
      <c r="A11" s="41" t="s">
        <v>107</v>
      </c>
      <c r="B11" s="40">
        <f>SUM('ÖNK_Int.műk.bev. '!B13+'PH_Int.műk.bev.'!B19+'GAM_Int.műk.bev.'!B22+'ILMKInt.műk.bev.'!B23)</f>
        <v>2550</v>
      </c>
    </row>
    <row r="12" spans="1:2" ht="24.75" customHeight="1">
      <c r="A12" s="41" t="s">
        <v>108</v>
      </c>
      <c r="B12" s="40">
        <f>SUM('ÖNK_Int.műk.bev. '!B16+'PH_Int.műk.bev.'!B22+'GAM_Int.műk.bev.'!B25+'ILMKInt.műk.bev.'!B26)</f>
        <v>0</v>
      </c>
    </row>
    <row r="13" spans="1:3" s="18" customFormat="1" ht="24.75" customHeight="1">
      <c r="A13" s="41" t="s">
        <v>109</v>
      </c>
      <c r="B13" s="40">
        <f>SUM('ÖNK_Int.műk.bev. '!B19+'PH_Int.műk.bev.'!B25+'GAM_Int.műk.bev.'!B28+'ILMKInt.műk.bev.'!B29)</f>
        <v>36388</v>
      </c>
      <c r="C13" s="17"/>
    </row>
    <row r="14" spans="1:2" ht="24.75" customHeight="1" thickBot="1">
      <c r="A14" s="43"/>
      <c r="B14" s="44"/>
    </row>
    <row r="15" spans="1:3" s="18" customFormat="1" ht="24.75" customHeight="1" thickBot="1">
      <c r="A15" s="45" t="s">
        <v>110</v>
      </c>
      <c r="B15" s="31">
        <f>+B8+B9+B10+B11+B12+B13</f>
        <v>86503</v>
      </c>
      <c r="C1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574</v>
      </c>
      <c r="B2" s="760"/>
      <c r="C2" s="162"/>
      <c r="D2" s="162"/>
    </row>
    <row r="3" ht="13.5" customHeight="1"/>
    <row r="4" spans="1:4" ht="12.75">
      <c r="A4" s="770" t="s">
        <v>387</v>
      </c>
      <c r="B4" s="770"/>
      <c r="C4" s="151"/>
      <c r="D4" s="151"/>
    </row>
    <row r="5" ht="13.5" thickBot="1">
      <c r="B5" s="90" t="s">
        <v>40</v>
      </c>
    </row>
    <row r="6" spans="1:2" ht="26.25" thickBot="1">
      <c r="A6" s="416" t="s">
        <v>41</v>
      </c>
      <c r="B6" s="459" t="s">
        <v>526</v>
      </c>
    </row>
    <row r="7" spans="1:2" ht="20.25" customHeight="1">
      <c r="A7" s="153" t="s">
        <v>91</v>
      </c>
      <c r="B7" s="305">
        <f>SUM(B8:B13)</f>
        <v>3921</v>
      </c>
    </row>
    <row r="8" spans="1:2" ht="20.25" customHeight="1">
      <c r="A8" s="121" t="s">
        <v>212</v>
      </c>
      <c r="B8" s="306">
        <v>1544</v>
      </c>
    </row>
    <row r="9" spans="1:2" ht="20.25" customHeight="1">
      <c r="A9" s="121" t="s">
        <v>718</v>
      </c>
      <c r="B9" s="306">
        <v>377</v>
      </c>
    </row>
    <row r="10" spans="1:2" ht="20.25" customHeight="1">
      <c r="A10" s="121" t="s">
        <v>213</v>
      </c>
      <c r="B10" s="306">
        <v>2000</v>
      </c>
    </row>
    <row r="11" spans="1:2" ht="20.25" customHeight="1">
      <c r="A11" s="121" t="s">
        <v>214</v>
      </c>
      <c r="B11" s="306">
        <v>0</v>
      </c>
    </row>
    <row r="12" spans="1:2" ht="20.25" customHeight="1">
      <c r="A12" s="121" t="s">
        <v>431</v>
      </c>
      <c r="B12" s="306">
        <v>0</v>
      </c>
    </row>
    <row r="13" spans="1:2" ht="20.25" customHeight="1">
      <c r="A13" s="121"/>
      <c r="B13" s="306"/>
    </row>
    <row r="14" spans="1:2" ht="20.25" customHeight="1">
      <c r="A14" s="154" t="s">
        <v>211</v>
      </c>
      <c r="B14" s="307">
        <f>SUM(B15:B19)</f>
        <v>13604</v>
      </c>
    </row>
    <row r="15" spans="1:2" ht="20.25" customHeight="1">
      <c r="A15" s="121" t="s">
        <v>215</v>
      </c>
      <c r="B15" s="308">
        <v>4524</v>
      </c>
    </row>
    <row r="16" spans="1:2" ht="20.25" customHeight="1">
      <c r="A16" s="121" t="s">
        <v>216</v>
      </c>
      <c r="B16" s="308">
        <v>0</v>
      </c>
    </row>
    <row r="17" spans="1:2" ht="20.25" customHeight="1">
      <c r="A17" s="121" t="s">
        <v>217</v>
      </c>
      <c r="B17" s="308">
        <v>9080</v>
      </c>
    </row>
    <row r="18" spans="1:2" ht="20.25" customHeight="1">
      <c r="A18" s="121" t="s">
        <v>218</v>
      </c>
      <c r="B18" s="306">
        <v>0</v>
      </c>
    </row>
    <row r="19" spans="1:2" ht="20.25" customHeight="1" thickBot="1">
      <c r="A19" s="122"/>
      <c r="B19" s="309"/>
    </row>
    <row r="20" spans="1:2" ht="19.5" customHeight="1" thickBot="1">
      <c r="A20" s="296" t="s">
        <v>219</v>
      </c>
      <c r="B20" s="172">
        <f>SUM(+B7+B14)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24.875" style="0" customWidth="1"/>
  </cols>
  <sheetData>
    <row r="1" spans="1:2" ht="31.5" customHeight="1">
      <c r="A1" s="769" t="s">
        <v>575</v>
      </c>
      <c r="B1" s="769"/>
    </row>
    <row r="2" ht="14.25" customHeight="1"/>
    <row r="3" spans="1:2" ht="12.75">
      <c r="A3" s="849" t="s">
        <v>388</v>
      </c>
      <c r="B3" s="849"/>
    </row>
    <row r="4" ht="21.75" customHeight="1" thickBot="1">
      <c r="B4" s="439" t="s">
        <v>40</v>
      </c>
    </row>
    <row r="5" spans="1:8" ht="26.25" thickBot="1">
      <c r="A5" s="449" t="s">
        <v>41</v>
      </c>
      <c r="B5" s="450" t="s">
        <v>528</v>
      </c>
      <c r="E5" s="2"/>
      <c r="F5" s="2"/>
      <c r="G5" s="2"/>
      <c r="H5" s="2"/>
    </row>
    <row r="6" spans="1:8" ht="21.75" customHeight="1">
      <c r="A6" s="460" t="s">
        <v>93</v>
      </c>
      <c r="B6" s="461">
        <f>SUM(B7:B12)</f>
        <v>137056</v>
      </c>
      <c r="C6" s="27"/>
      <c r="E6" s="2"/>
      <c r="F6" s="27"/>
      <c r="G6" s="2"/>
      <c r="H6" s="2"/>
    </row>
    <row r="7" spans="1:8" s="332" customFormat="1" ht="21.75" customHeight="1">
      <c r="A7" s="164" t="s">
        <v>221</v>
      </c>
      <c r="B7" s="220">
        <v>2400</v>
      </c>
      <c r="C7" s="331"/>
      <c r="D7" s="331"/>
      <c r="E7" s="331"/>
      <c r="F7" s="333"/>
      <c r="G7" s="331"/>
      <c r="H7" s="331"/>
    </row>
    <row r="8" spans="1:8" s="332" customFormat="1" ht="21.75" customHeight="1">
      <c r="A8" s="164" t="s">
        <v>222</v>
      </c>
      <c r="B8" s="220">
        <f>8040-7532-508</f>
        <v>0</v>
      </c>
      <c r="C8" s="331"/>
      <c r="D8" s="331"/>
      <c r="E8" s="331"/>
      <c r="F8" s="333"/>
      <c r="G8" s="333"/>
      <c r="H8" s="331"/>
    </row>
    <row r="9" spans="1:8" s="332" customFormat="1" ht="21.75" customHeight="1">
      <c r="A9" s="274" t="s">
        <v>764</v>
      </c>
      <c r="B9" s="220">
        <v>400</v>
      </c>
      <c r="C9" s="331"/>
      <c r="D9" s="331"/>
      <c r="E9" s="331"/>
      <c r="F9" s="333"/>
      <c r="G9" s="333"/>
      <c r="H9" s="331"/>
    </row>
    <row r="10" spans="1:8" s="332" customFormat="1" ht="21.75" customHeight="1">
      <c r="A10" s="156" t="s">
        <v>224</v>
      </c>
      <c r="B10" s="157">
        <v>794</v>
      </c>
      <c r="C10" s="331"/>
      <c r="D10" s="331"/>
      <c r="E10" s="331"/>
      <c r="F10" s="333"/>
      <c r="G10" s="331"/>
      <c r="H10" s="331"/>
    </row>
    <row r="11" spans="1:8" s="332" customFormat="1" ht="21.75" customHeight="1">
      <c r="A11" s="156" t="s">
        <v>489</v>
      </c>
      <c r="B11" s="157">
        <v>10728</v>
      </c>
      <c r="C11" s="331"/>
      <c r="D11" s="331"/>
      <c r="E11" s="331"/>
      <c r="F11" s="331"/>
      <c r="G11" s="331"/>
      <c r="H11" s="331"/>
    </row>
    <row r="12" spans="1:8" s="332" customFormat="1" ht="21.75" customHeight="1">
      <c r="A12" s="156" t="s">
        <v>493</v>
      </c>
      <c r="B12" s="157">
        <v>122734</v>
      </c>
      <c r="C12" s="331"/>
      <c r="D12" s="331"/>
      <c r="E12" s="331"/>
      <c r="F12" s="331"/>
      <c r="G12" s="331"/>
      <c r="H12" s="331"/>
    </row>
    <row r="13" spans="1:8" ht="21.75" customHeight="1">
      <c r="A13" s="144" t="s">
        <v>94</v>
      </c>
      <c r="B13" s="145">
        <f>SUM(B14:B16)</f>
        <v>3347</v>
      </c>
      <c r="E13" s="2"/>
      <c r="F13" s="2"/>
      <c r="G13" s="2"/>
      <c r="H13" s="2"/>
    </row>
    <row r="14" spans="1:8" s="332" customFormat="1" ht="21.75" customHeight="1">
      <c r="A14" s="217" t="s">
        <v>494</v>
      </c>
      <c r="B14" s="452">
        <v>1241</v>
      </c>
      <c r="C14" s="331"/>
      <c r="D14" s="331"/>
      <c r="E14" s="331"/>
      <c r="F14" s="331"/>
      <c r="G14" s="331"/>
      <c r="H14" s="331"/>
    </row>
    <row r="15" spans="1:8" s="332" customFormat="1" ht="28.5" customHeight="1">
      <c r="A15" s="455" t="s">
        <v>430</v>
      </c>
      <c r="B15" s="157">
        <v>1106</v>
      </c>
      <c r="C15" s="331"/>
      <c r="D15" s="331"/>
      <c r="E15" s="331"/>
      <c r="F15" s="331"/>
      <c r="G15" s="331"/>
      <c r="H15" s="331"/>
    </row>
    <row r="16" spans="1:8" s="332" customFormat="1" ht="28.5" customHeight="1" thickBot="1">
      <c r="A16" s="462" t="s">
        <v>490</v>
      </c>
      <c r="B16" s="246">
        <v>1000</v>
      </c>
      <c r="C16" s="331"/>
      <c r="D16" s="331"/>
      <c r="E16" s="331"/>
      <c r="F16" s="331"/>
      <c r="G16" s="331"/>
      <c r="H16" s="331"/>
    </row>
    <row r="17" spans="1:8" ht="21.75" customHeight="1" thickBot="1">
      <c r="A17" s="463" t="s">
        <v>220</v>
      </c>
      <c r="B17" s="149">
        <f>SUM(B6+B13)</f>
        <v>140403</v>
      </c>
      <c r="C17" s="27"/>
      <c r="E17" s="2"/>
      <c r="F17" s="27"/>
      <c r="G17" s="2"/>
      <c r="H17" s="2"/>
    </row>
    <row r="18" spans="5:7" ht="21.75" customHeight="1">
      <c r="E18" s="2"/>
      <c r="F18" s="27"/>
      <c r="G18" s="2"/>
    </row>
    <row r="19" spans="5:7" ht="21.75" customHeight="1">
      <c r="E19" s="2"/>
      <c r="F19" s="27"/>
      <c r="G19" s="2"/>
    </row>
    <row r="20" spans="5:7" ht="21.75" customHeight="1">
      <c r="E20" s="2"/>
      <c r="F20" s="27"/>
      <c r="G20" s="2"/>
    </row>
    <row r="21" spans="5:7" ht="21.75" customHeight="1">
      <c r="E21" s="2"/>
      <c r="F21" s="27"/>
      <c r="G21" s="2"/>
    </row>
    <row r="22" spans="5:7" ht="21.75" customHeight="1">
      <c r="E22" s="2"/>
      <c r="F22" s="27"/>
      <c r="G22" s="2"/>
    </row>
    <row r="23" spans="5:7" ht="21.75" customHeight="1">
      <c r="E23" s="2"/>
      <c r="F23" s="27"/>
      <c r="G23" s="2"/>
    </row>
    <row r="24" spans="5:7" ht="21.75" customHeight="1">
      <c r="E24" s="2"/>
      <c r="F24" s="27"/>
      <c r="G24" s="2"/>
    </row>
    <row r="25" spans="5:7" ht="21.75" customHeight="1">
      <c r="E25" s="2"/>
      <c r="F25" s="2"/>
      <c r="G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spans="4:6" ht="21.75" customHeight="1">
      <c r="D34" s="2">
        <f>57500*12</f>
        <v>690000</v>
      </c>
      <c r="F34" s="2"/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>
      <c r="D43" s="2">
        <v>1773000</v>
      </c>
    </row>
    <row r="44" ht="21.75" customHeight="1">
      <c r="D44" s="2">
        <v>3262176</v>
      </c>
    </row>
    <row r="45" ht="21.75" customHeight="1"/>
    <row r="46" spans="5:6" ht="21.75" customHeight="1">
      <c r="E46" s="143" t="s">
        <v>170</v>
      </c>
      <c r="F46" s="63" t="e">
        <f>SUM(#REF!)</f>
        <v>#REF!</v>
      </c>
    </row>
    <row r="47" ht="21.75" customHeight="1"/>
    <row r="48" ht="21.75" customHeight="1">
      <c r="D48" s="2">
        <f>620000+12846900+7315200</f>
        <v>20782100</v>
      </c>
    </row>
    <row r="49" ht="21.75" customHeight="1"/>
    <row r="5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6" width="9.125" style="2" customWidth="1"/>
    <col min="7" max="7" width="36.00390625" style="2" bestFit="1" customWidth="1"/>
    <col min="8" max="8" width="13.75390625" style="0" bestFit="1" customWidth="1"/>
  </cols>
  <sheetData>
    <row r="1" spans="1:2" ht="43.5" customHeight="1">
      <c r="A1" s="759" t="s">
        <v>576</v>
      </c>
      <c r="B1" s="759"/>
    </row>
    <row r="2" ht="26.25" customHeight="1"/>
    <row r="3" spans="1:2" ht="12.75">
      <c r="A3" s="770" t="s">
        <v>389</v>
      </c>
      <c r="B3" s="770"/>
    </row>
    <row r="4" ht="22.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8" ht="24" customHeight="1">
      <c r="A6" s="153" t="s">
        <v>96</v>
      </c>
      <c r="B6" s="142">
        <f>SUM(B7:B7)</f>
        <v>31657</v>
      </c>
      <c r="G6" s="488"/>
      <c r="H6" s="493"/>
    </row>
    <row r="7" spans="1:8" s="332" customFormat="1" ht="24" customHeight="1">
      <c r="A7" s="495" t="s">
        <v>509</v>
      </c>
      <c r="B7" s="735">
        <v>31657</v>
      </c>
      <c r="C7" s="331"/>
      <c r="D7" s="331"/>
      <c r="E7" s="331"/>
      <c r="F7" s="331"/>
      <c r="G7"/>
      <c r="H7" s="493"/>
    </row>
    <row r="8" spans="1:8" ht="24" customHeight="1">
      <c r="A8" s="154" t="s">
        <v>97</v>
      </c>
      <c r="B8" s="310">
        <f>SUM(B9:B19)</f>
        <v>354683</v>
      </c>
      <c r="G8"/>
      <c r="H8" s="493"/>
    </row>
    <row r="9" spans="1:6" s="332" customFormat="1" ht="24" customHeight="1">
      <c r="A9" s="495" t="s">
        <v>509</v>
      </c>
      <c r="B9" s="735">
        <v>9776</v>
      </c>
      <c r="C9" s="331"/>
      <c r="D9" s="331"/>
      <c r="E9" s="331"/>
      <c r="F9" s="331"/>
    </row>
    <row r="10" spans="1:6" ht="24" customHeight="1">
      <c r="A10" s="496" t="s">
        <v>639</v>
      </c>
      <c r="B10" s="497">
        <v>15957</v>
      </c>
      <c r="F10" s="27"/>
    </row>
    <row r="11" spans="1:6" ht="24" customHeight="1">
      <c r="A11" s="496" t="s">
        <v>766</v>
      </c>
      <c r="B11" s="497">
        <v>184806</v>
      </c>
      <c r="F11" s="27"/>
    </row>
    <row r="12" spans="1:6" ht="24" customHeight="1">
      <c r="A12" s="496" t="s">
        <v>768</v>
      </c>
      <c r="B12" s="497">
        <f>5500-100</f>
        <v>5400</v>
      </c>
      <c r="F12" s="27"/>
    </row>
    <row r="13" spans="1:6" ht="24" customHeight="1">
      <c r="A13" s="496" t="s">
        <v>769</v>
      </c>
      <c r="B13" s="497">
        <v>20000</v>
      </c>
      <c r="F13" s="27"/>
    </row>
    <row r="14" spans="1:6" ht="24" customHeight="1">
      <c r="A14" s="496" t="s">
        <v>770</v>
      </c>
      <c r="B14" s="497">
        <v>62747</v>
      </c>
      <c r="F14" s="27"/>
    </row>
    <row r="15" spans="1:6" ht="24" customHeight="1">
      <c r="A15" s="496" t="s">
        <v>635</v>
      </c>
      <c r="B15" s="497">
        <v>7500</v>
      </c>
      <c r="F15" s="27"/>
    </row>
    <row r="16" spans="1:6" ht="24" customHeight="1">
      <c r="A16" s="700" t="s">
        <v>636</v>
      </c>
      <c r="B16" s="498">
        <v>3500</v>
      </c>
      <c r="F16" s="27"/>
    </row>
    <row r="17" spans="1:6" ht="24" customHeight="1">
      <c r="A17" s="274" t="s">
        <v>732</v>
      </c>
      <c r="B17" s="736">
        <v>3556</v>
      </c>
      <c r="F17" s="27"/>
    </row>
    <row r="18" spans="1:6" ht="24" customHeight="1">
      <c r="A18" s="274" t="s">
        <v>730</v>
      </c>
      <c r="B18" s="736">
        <v>27690</v>
      </c>
      <c r="F18" s="27"/>
    </row>
    <row r="19" spans="1:6" ht="24" customHeight="1" thickBot="1">
      <c r="A19" s="274" t="s">
        <v>731</v>
      </c>
      <c r="B19" s="736">
        <v>13751</v>
      </c>
      <c r="F19" s="27"/>
    </row>
    <row r="20" spans="1:2" ht="23.25" customHeight="1" thickBot="1">
      <c r="A20" s="250" t="s">
        <v>225</v>
      </c>
      <c r="B20" s="205">
        <f>SUM(B6+B8)</f>
        <v>386340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0">
      <selection activeCell="G16" sqref="G16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577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390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471384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SUM('ÖNK_működési kiadás'!D34)</f>
        <v>143620</v>
      </c>
      <c r="H9"/>
      <c r="I9"/>
      <c r="J9"/>
      <c r="K9"/>
    </row>
    <row r="10" spans="2:11" s="2" customFormat="1" ht="15">
      <c r="B10" s="94" t="s">
        <v>113</v>
      </c>
      <c r="C10" s="93">
        <f>SUM('ÖNK_működési kiadás'!E34)</f>
        <v>24703</v>
      </c>
      <c r="D10" s="27"/>
      <c r="H10"/>
      <c r="I10"/>
      <c r="J10"/>
      <c r="K10"/>
    </row>
    <row r="11" spans="2:11" s="2" customFormat="1" ht="15">
      <c r="B11" s="94" t="s">
        <v>114</v>
      </c>
      <c r="C11" s="93">
        <f>SUM('ÖNK_működési kiadás'!F34)</f>
        <v>146173</v>
      </c>
      <c r="H11"/>
      <c r="I11"/>
      <c r="J11"/>
      <c r="K11"/>
    </row>
    <row r="12" spans="2:11" s="2" customFormat="1" ht="15">
      <c r="B12" s="94" t="s">
        <v>115</v>
      </c>
      <c r="C12" s="93">
        <f>SUM(C13:C17)</f>
        <v>156888</v>
      </c>
      <c r="D12" s="27"/>
      <c r="H12"/>
      <c r="I12"/>
      <c r="J12"/>
      <c r="K12"/>
    </row>
    <row r="13" spans="2:4" ht="15">
      <c r="B13" s="94" t="s">
        <v>248</v>
      </c>
      <c r="C13" s="93">
        <f>SUM('ÖNK_Támogatásért.'!B19)</f>
        <v>101842</v>
      </c>
      <c r="D13" s="27"/>
    </row>
    <row r="14" spans="2:4" ht="15">
      <c r="B14" s="94" t="s">
        <v>249</v>
      </c>
      <c r="C14" s="93">
        <v>24074</v>
      </c>
      <c r="D14" s="27"/>
    </row>
    <row r="15" spans="2:4" ht="15">
      <c r="B15" s="94" t="s">
        <v>254</v>
      </c>
      <c r="C15" s="93">
        <f>SUM('ÖNK_Szoc.alap'!E25)</f>
        <v>25644</v>
      </c>
      <c r="D15" s="27"/>
    </row>
    <row r="16" spans="1:7" s="170" customFormat="1" ht="15">
      <c r="A16" s="324"/>
      <c r="B16" s="464" t="s">
        <v>348</v>
      </c>
      <c r="C16" s="737">
        <f>5000+316+12</f>
        <v>5328</v>
      </c>
      <c r="D16" s="324"/>
      <c r="E16" s="324"/>
      <c r="F16" s="324"/>
      <c r="G16" s="324"/>
    </row>
    <row r="17" spans="2:3" ht="15">
      <c r="B17" s="94" t="s">
        <v>425</v>
      </c>
      <c r="C17" s="93">
        <v>0</v>
      </c>
    </row>
    <row r="18" spans="2:11" s="2" customFormat="1" ht="15.75">
      <c r="B18" s="101" t="s">
        <v>118</v>
      </c>
      <c r="C18" s="102">
        <f>SUM(C19+C20+C21)</f>
        <v>423403</v>
      </c>
      <c r="H18"/>
      <c r="I18"/>
      <c r="J18"/>
      <c r="K18"/>
    </row>
    <row r="19" spans="2:11" s="2" customFormat="1" ht="15">
      <c r="B19" s="94" t="s">
        <v>119</v>
      </c>
      <c r="C19" s="93">
        <v>327087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f>SUM(C22:C24)</f>
        <v>25519</v>
      </c>
      <c r="H21"/>
      <c r="I21"/>
      <c r="J21"/>
      <c r="K21"/>
    </row>
    <row r="22" spans="2:3" ht="15">
      <c r="B22" s="94" t="s">
        <v>250</v>
      </c>
      <c r="C22" s="93">
        <f>SUM('ÖNK_Támogatásért.'!B22)</f>
        <v>4664</v>
      </c>
    </row>
    <row r="23" spans="2:3" ht="15">
      <c r="B23" s="94" t="s">
        <v>251</v>
      </c>
      <c r="C23" s="93">
        <v>6815</v>
      </c>
    </row>
    <row r="24" spans="1:7" s="170" customFormat="1" ht="15">
      <c r="A24" s="324"/>
      <c r="B24" s="464" t="s">
        <v>278</v>
      </c>
      <c r="C24" s="737">
        <f>8359+2507+3174</f>
        <v>14040</v>
      </c>
      <c r="D24" s="324"/>
      <c r="E24" s="324"/>
      <c r="F24" s="324"/>
      <c r="G24" s="324"/>
    </row>
    <row r="25" spans="1:7" s="170" customFormat="1" ht="15.75">
      <c r="A25" s="324"/>
      <c r="B25" s="101" t="s">
        <v>279</v>
      </c>
      <c r="C25" s="102">
        <f>16193+4978+209958</f>
        <v>231129</v>
      </c>
      <c r="D25" s="324"/>
      <c r="E25" s="324"/>
      <c r="F25" s="324"/>
      <c r="G25" s="324"/>
    </row>
    <row r="26" spans="2:3" ht="15.75">
      <c r="B26" s="101" t="s">
        <v>281</v>
      </c>
      <c r="C26" s="102">
        <v>0</v>
      </c>
    </row>
    <row r="27" spans="2:3" ht="15.75">
      <c r="B27" s="101" t="s">
        <v>280</v>
      </c>
      <c r="C27" s="102">
        <v>0</v>
      </c>
    </row>
    <row r="28" spans="2:3" ht="16.5" thickBot="1">
      <c r="B28" s="101" t="s">
        <v>740</v>
      </c>
      <c r="C28" s="102">
        <v>37418</v>
      </c>
    </row>
    <row r="29" spans="2:4" ht="18.75" thickBot="1">
      <c r="B29" s="95" t="s">
        <v>271</v>
      </c>
      <c r="C29" s="96">
        <f>SUM(C8+C18+C25+C26+C27+C28)</f>
        <v>1163334</v>
      </c>
      <c r="D29" s="190"/>
    </row>
    <row r="30" spans="2:3" ht="15">
      <c r="B30" s="208" t="s">
        <v>282</v>
      </c>
      <c r="C30" s="314">
        <f>SUM(C31:C32)</f>
        <v>599265</v>
      </c>
    </row>
    <row r="31" spans="2:4" ht="15">
      <c r="B31" s="208" t="s">
        <v>283</v>
      </c>
      <c r="C31" s="314">
        <v>595165</v>
      </c>
      <c r="D31" s="27"/>
    </row>
    <row r="32" spans="2:3" ht="15.75" thickBot="1">
      <c r="B32" s="208" t="s">
        <v>284</v>
      </c>
      <c r="C32" s="314">
        <f>SUM('PH_Összes bevétel'!B34+'GAM_Összes bevétel'!B34+'ILMKÖsszes bevétel'!B34+'OVI_Összes bevétel'!B34)</f>
        <v>4100</v>
      </c>
    </row>
    <row r="33" spans="2:4" ht="16.5" thickBot="1">
      <c r="B33" s="250" t="s">
        <v>292</v>
      </c>
      <c r="C33" s="251">
        <f>SUM(C29+C30)</f>
        <v>1762599</v>
      </c>
      <c r="D33" s="17"/>
    </row>
    <row r="34" spans="2:3" ht="15">
      <c r="B34" s="89"/>
      <c r="C34" s="89"/>
    </row>
    <row r="35" spans="3:11" s="2" customFormat="1" ht="12.75">
      <c r="C35" s="97"/>
      <c r="H35"/>
      <c r="I35"/>
      <c r="J35"/>
      <c r="K35"/>
    </row>
    <row r="36" spans="8:11" s="2" customFormat="1" ht="12.75">
      <c r="H36"/>
      <c r="I36"/>
      <c r="J36"/>
      <c r="K36"/>
    </row>
    <row r="37" spans="8:11" s="2" customFormat="1" ht="12.75">
      <c r="H37"/>
      <c r="I37"/>
      <c r="J37"/>
      <c r="K37"/>
    </row>
    <row r="38" spans="8:11" s="2" customFormat="1" ht="12.75">
      <c r="H38"/>
      <c r="I38"/>
      <c r="J38"/>
      <c r="K38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9">
      <selection activeCell="I11" sqref="I11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375" style="1" bestFit="1" customWidth="1"/>
    <col min="8" max="8" width="11.375" style="2" bestFit="1" customWidth="1"/>
    <col min="9" max="10" width="9.875" style="2" bestFit="1" customWidth="1"/>
  </cols>
  <sheetData>
    <row r="1" spans="1:6" ht="18">
      <c r="A1" s="755" t="s">
        <v>578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7" t="s">
        <v>391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22" t="s">
        <v>8</v>
      </c>
      <c r="B8" s="106">
        <v>2</v>
      </c>
      <c r="C8" s="107">
        <f aca="true" t="shared" si="0" ref="C8:C20">SUM(D8:F8)</f>
        <v>500</v>
      </c>
      <c r="D8" s="111">
        <v>0</v>
      </c>
      <c r="E8" s="111">
        <v>0</v>
      </c>
      <c r="F8" s="112">
        <v>500</v>
      </c>
      <c r="G8" s="1"/>
      <c r="H8" s="364"/>
      <c r="I8" s="364"/>
      <c r="J8" s="364"/>
    </row>
    <row r="9" spans="1:10" s="365" customFormat="1" ht="18.75" customHeight="1" thickBot="1">
      <c r="A9" s="22" t="s">
        <v>419</v>
      </c>
      <c r="B9" s="106"/>
      <c r="C9" s="107">
        <f>SUM(D9:F9)</f>
        <v>9151</v>
      </c>
      <c r="D9" s="111">
        <v>0</v>
      </c>
      <c r="E9" s="111">
        <v>0</v>
      </c>
      <c r="F9" s="112">
        <f>9401-250</f>
        <v>9151</v>
      </c>
      <c r="G9" s="1"/>
      <c r="H9" s="364"/>
      <c r="I9" s="364"/>
      <c r="J9" s="364"/>
    </row>
    <row r="10" spans="1:10" s="365" customFormat="1" ht="18.75" customHeight="1" thickBot="1">
      <c r="A10" s="22" t="s">
        <v>777</v>
      </c>
      <c r="B10" s="106"/>
      <c r="C10" s="107">
        <f>SUM(D10:F10)</f>
        <v>1054</v>
      </c>
      <c r="D10" s="111">
        <v>830</v>
      </c>
      <c r="E10" s="111">
        <v>224</v>
      </c>
      <c r="F10" s="112">
        <v>0</v>
      </c>
      <c r="G10" s="1"/>
      <c r="H10" s="364"/>
      <c r="I10" s="364"/>
      <c r="J10" s="364"/>
    </row>
    <row r="11" spans="1:10" s="365" customFormat="1" ht="18.75" customHeight="1" thickBot="1">
      <c r="A11" s="22" t="s">
        <v>778</v>
      </c>
      <c r="B11" s="106"/>
      <c r="C11" s="107">
        <f>SUM(D11:F11)</f>
        <v>754</v>
      </c>
      <c r="D11" s="111">
        <v>594</v>
      </c>
      <c r="E11" s="111">
        <v>160</v>
      </c>
      <c r="F11" s="112">
        <v>0</v>
      </c>
      <c r="G11" s="1"/>
      <c r="H11" s="364"/>
      <c r="I11" s="364"/>
      <c r="J11" s="364"/>
    </row>
    <row r="12" spans="1:10" s="365" customFormat="1" ht="18.75" customHeight="1" thickBot="1">
      <c r="A12" s="22" t="s">
        <v>420</v>
      </c>
      <c r="B12" s="106"/>
      <c r="C12" s="107">
        <f t="shared" si="0"/>
        <v>2000</v>
      </c>
      <c r="D12" s="111">
        <v>0</v>
      </c>
      <c r="E12" s="111">
        <v>0</v>
      </c>
      <c r="F12" s="112">
        <v>2000</v>
      </c>
      <c r="G12" s="1"/>
      <c r="H12" s="364"/>
      <c r="I12" s="364"/>
      <c r="J12" s="364"/>
    </row>
    <row r="13" spans="1:11" s="365" customFormat="1" ht="18.75" customHeight="1" thickBot="1">
      <c r="A13" s="22" t="s">
        <v>172</v>
      </c>
      <c r="B13" s="106"/>
      <c r="C13" s="107">
        <f t="shared" si="0"/>
        <v>3321</v>
      </c>
      <c r="D13" s="111">
        <v>2505</v>
      </c>
      <c r="E13" s="111">
        <f>676-15</f>
        <v>661</v>
      </c>
      <c r="F13" s="112">
        <f>140+15</f>
        <v>155</v>
      </c>
      <c r="G13" s="419"/>
      <c r="H13" s="363"/>
      <c r="I13" s="364"/>
      <c r="J13" s="364"/>
      <c r="K13" s="364"/>
    </row>
    <row r="14" spans="1:11" s="365" customFormat="1" ht="18.75" customHeight="1" thickBot="1">
      <c r="A14" s="22" t="s">
        <v>429</v>
      </c>
      <c r="B14" s="106"/>
      <c r="C14" s="107">
        <f t="shared" si="0"/>
        <v>1500</v>
      </c>
      <c r="D14" s="111">
        <v>0</v>
      </c>
      <c r="E14" s="111">
        <v>0</v>
      </c>
      <c r="F14" s="112">
        <f>2500-1000</f>
        <v>1500</v>
      </c>
      <c r="G14" s="419"/>
      <c r="H14" s="363"/>
      <c r="I14" s="364"/>
      <c r="J14" s="364"/>
      <c r="K14" s="364"/>
    </row>
    <row r="15" spans="1:11" s="331" customFormat="1" ht="18.75" customHeight="1" thickBot="1">
      <c r="A15" s="80" t="s">
        <v>491</v>
      </c>
      <c r="B15" s="106"/>
      <c r="C15" s="107">
        <f>SUM(D15:F15)</f>
        <v>0</v>
      </c>
      <c r="D15" s="111">
        <v>0</v>
      </c>
      <c r="E15" s="111">
        <v>0</v>
      </c>
      <c r="F15" s="112">
        <v>0</v>
      </c>
      <c r="G15" s="21"/>
      <c r="K15" s="332"/>
    </row>
    <row r="16" spans="1:10" s="332" customFormat="1" ht="18.75" customHeight="1" thickBot="1">
      <c r="A16" s="20" t="s">
        <v>421</v>
      </c>
      <c r="B16" s="106"/>
      <c r="C16" s="107">
        <f t="shared" si="0"/>
        <v>4000</v>
      </c>
      <c r="D16" s="111">
        <v>0</v>
      </c>
      <c r="E16" s="111">
        <v>0</v>
      </c>
      <c r="F16" s="112">
        <v>4000</v>
      </c>
      <c r="G16" s="21"/>
      <c r="H16" s="331"/>
      <c r="I16" s="331"/>
      <c r="J16" s="331"/>
    </row>
    <row r="17" spans="1:11" s="331" customFormat="1" ht="18.75" customHeight="1" thickBot="1">
      <c r="A17" s="80" t="s">
        <v>175</v>
      </c>
      <c r="B17" s="106"/>
      <c r="C17" s="107">
        <f t="shared" si="0"/>
        <v>3600</v>
      </c>
      <c r="D17" s="111">
        <v>0</v>
      </c>
      <c r="E17" s="111">
        <v>0</v>
      </c>
      <c r="F17" s="112">
        <f>3200+400</f>
        <v>3600</v>
      </c>
      <c r="G17" s="21"/>
      <c r="K17" s="332"/>
    </row>
    <row r="18" spans="1:10" s="365" customFormat="1" ht="18.75" customHeight="1" thickBot="1">
      <c r="A18" s="22" t="s">
        <v>233</v>
      </c>
      <c r="B18" s="106"/>
      <c r="C18" s="107">
        <f t="shared" si="0"/>
        <v>16310</v>
      </c>
      <c r="D18" s="111">
        <v>0</v>
      </c>
      <c r="E18" s="111">
        <v>0</v>
      </c>
      <c r="F18" s="112">
        <v>16310</v>
      </c>
      <c r="G18" s="1"/>
      <c r="H18" s="364"/>
      <c r="I18" s="364"/>
      <c r="J18" s="364"/>
    </row>
    <row r="19" spans="1:10" s="365" customFormat="1" ht="18.75" customHeight="1" thickBot="1">
      <c r="A19" s="22" t="s">
        <v>234</v>
      </c>
      <c r="B19" s="106">
        <v>3</v>
      </c>
      <c r="C19" s="107">
        <f t="shared" si="0"/>
        <v>6618</v>
      </c>
      <c r="D19" s="111">
        <f>3895+122</f>
        <v>4017</v>
      </c>
      <c r="E19" s="111">
        <f>1052+33-319</f>
        <v>766</v>
      </c>
      <c r="F19" s="112">
        <f>1516+319</f>
        <v>1835</v>
      </c>
      <c r="G19" s="1"/>
      <c r="H19" s="364"/>
      <c r="I19" s="364"/>
      <c r="J19" s="364"/>
    </row>
    <row r="20" spans="1:11" s="331" customFormat="1" ht="18.75" customHeight="1" thickBot="1">
      <c r="A20" s="80" t="s">
        <v>177</v>
      </c>
      <c r="B20" s="106"/>
      <c r="C20" s="107">
        <f t="shared" si="0"/>
        <v>300</v>
      </c>
      <c r="D20" s="111">
        <v>0</v>
      </c>
      <c r="E20" s="111">
        <v>0</v>
      </c>
      <c r="F20" s="112">
        <v>300</v>
      </c>
      <c r="G20" s="21"/>
      <c r="K20" s="332"/>
    </row>
    <row r="21" spans="1:11" s="331" customFormat="1" ht="18.75" customHeight="1" thickBot="1">
      <c r="A21" s="80" t="s">
        <v>741</v>
      </c>
      <c r="B21" s="106"/>
      <c r="C21" s="107">
        <f aca="true" t="shared" si="1" ref="C21:C26">SUM(D21:F21)</f>
        <v>845</v>
      </c>
      <c r="D21" s="111">
        <v>0</v>
      </c>
      <c r="E21" s="111">
        <v>0</v>
      </c>
      <c r="F21" s="112">
        <v>845</v>
      </c>
      <c r="G21" s="21"/>
      <c r="K21" s="332"/>
    </row>
    <row r="22" spans="1:10" s="332" customFormat="1" ht="18.75" customHeight="1" thickBot="1">
      <c r="A22" s="22" t="s">
        <v>779</v>
      </c>
      <c r="B22" s="106"/>
      <c r="C22" s="107">
        <f t="shared" si="1"/>
        <v>6947</v>
      </c>
      <c r="D22" s="111">
        <v>5449</v>
      </c>
      <c r="E22" s="111">
        <v>1498</v>
      </c>
      <c r="F22" s="112">
        <v>0</v>
      </c>
      <c r="G22" s="21"/>
      <c r="H22" s="331"/>
      <c r="I22" s="331"/>
      <c r="J22" s="331"/>
    </row>
    <row r="23" spans="1:11" s="331" customFormat="1" ht="18.75" customHeight="1" thickBot="1">
      <c r="A23" s="80" t="s">
        <v>780</v>
      </c>
      <c r="B23" s="106"/>
      <c r="C23" s="107">
        <f t="shared" si="1"/>
        <v>10458</v>
      </c>
      <c r="D23" s="111">
        <v>0</v>
      </c>
      <c r="E23" s="111">
        <v>0</v>
      </c>
      <c r="F23" s="112">
        <f>10470-12</f>
        <v>10458</v>
      </c>
      <c r="G23" s="21"/>
      <c r="K23" s="332"/>
    </row>
    <row r="24" spans="1:10" s="332" customFormat="1" ht="29.25" customHeight="1" thickBot="1">
      <c r="A24" s="20" t="s">
        <v>781</v>
      </c>
      <c r="B24" s="106"/>
      <c r="C24" s="107">
        <f t="shared" si="1"/>
        <v>2124</v>
      </c>
      <c r="D24" s="111">
        <v>1676</v>
      </c>
      <c r="E24" s="111">
        <v>448</v>
      </c>
      <c r="F24" s="112">
        <v>0</v>
      </c>
      <c r="G24" s="21"/>
      <c r="H24" s="331"/>
      <c r="I24" s="331"/>
      <c r="J24" s="331"/>
    </row>
    <row r="25" spans="1:10" s="332" customFormat="1" ht="30.75" customHeight="1" thickBot="1">
      <c r="A25" s="20" t="s">
        <v>782</v>
      </c>
      <c r="B25" s="106"/>
      <c r="C25" s="107">
        <f t="shared" si="1"/>
        <v>2400</v>
      </c>
      <c r="D25" s="111">
        <v>1905</v>
      </c>
      <c r="E25" s="111">
        <v>495</v>
      </c>
      <c r="F25" s="112">
        <v>0</v>
      </c>
      <c r="G25" s="21"/>
      <c r="H25" s="331"/>
      <c r="I25" s="331"/>
      <c r="J25" s="331"/>
    </row>
    <row r="26" spans="1:10" s="332" customFormat="1" ht="18.75" customHeight="1" thickBot="1">
      <c r="A26" s="22" t="s">
        <v>783</v>
      </c>
      <c r="B26" s="106"/>
      <c r="C26" s="107">
        <f t="shared" si="1"/>
        <v>9</v>
      </c>
      <c r="D26" s="111">
        <v>9</v>
      </c>
      <c r="E26" s="111">
        <v>0</v>
      </c>
      <c r="F26" s="112">
        <v>0</v>
      </c>
      <c r="G26" s="21"/>
      <c r="H26" s="331"/>
      <c r="I26" s="331"/>
      <c r="J26" s="331"/>
    </row>
    <row r="27" spans="1:10" s="332" customFormat="1" ht="18.75" customHeight="1" thickBot="1">
      <c r="A27" s="22" t="s">
        <v>235</v>
      </c>
      <c r="B27" s="106"/>
      <c r="C27" s="107">
        <f aca="true" t="shared" si="2" ref="C27:C32">SUM(D27:F27)</f>
        <v>794</v>
      </c>
      <c r="D27" s="111">
        <v>0</v>
      </c>
      <c r="E27" s="111">
        <v>0</v>
      </c>
      <c r="F27" s="112">
        <v>794</v>
      </c>
      <c r="G27" s="21"/>
      <c r="H27" s="331"/>
      <c r="I27" s="331"/>
      <c r="J27" s="331"/>
    </row>
    <row r="28" spans="1:7" s="331" customFormat="1" ht="18.75" customHeight="1" thickBot="1">
      <c r="A28" s="20" t="s">
        <v>237</v>
      </c>
      <c r="B28" s="106">
        <v>3</v>
      </c>
      <c r="C28" s="107">
        <f t="shared" si="2"/>
        <v>7981</v>
      </c>
      <c r="D28" s="111">
        <f>3912-18+34</f>
        <v>3928</v>
      </c>
      <c r="E28" s="111">
        <f>1056+5</f>
        <v>1061</v>
      </c>
      <c r="F28" s="112">
        <f>3500-508</f>
        <v>2992</v>
      </c>
      <c r="G28" s="21"/>
    </row>
    <row r="29" spans="1:10" s="332" customFormat="1" ht="18.75" customHeight="1" thickBot="1">
      <c r="A29" s="20" t="s">
        <v>11</v>
      </c>
      <c r="B29" s="106">
        <v>14</v>
      </c>
      <c r="C29" s="107">
        <f>SUM(D29:F29)</f>
        <v>31870</v>
      </c>
      <c r="D29" s="111">
        <f>21614+168</f>
        <v>21782</v>
      </c>
      <c r="E29" s="111">
        <f>5836+45-116</f>
        <v>5765</v>
      </c>
      <c r="F29" s="112">
        <f>4207+116</f>
        <v>4323</v>
      </c>
      <c r="G29" s="21"/>
      <c r="H29" s="331"/>
      <c r="I29" s="331"/>
      <c r="J29" s="331"/>
    </row>
    <row r="30" spans="1:11" s="331" customFormat="1" ht="18.75" customHeight="1" thickBot="1">
      <c r="A30" s="80" t="s">
        <v>9</v>
      </c>
      <c r="B30" s="106">
        <v>46</v>
      </c>
      <c r="C30" s="107">
        <f t="shared" si="2"/>
        <v>15326</v>
      </c>
      <c r="D30" s="111">
        <v>13503</v>
      </c>
      <c r="E30" s="111">
        <v>1823</v>
      </c>
      <c r="F30" s="112">
        <v>0</v>
      </c>
      <c r="G30" s="21"/>
      <c r="K30" s="332"/>
    </row>
    <row r="31" spans="1:11" s="331" customFormat="1" ht="18.75" customHeight="1" thickBot="1">
      <c r="A31" s="80" t="s">
        <v>10</v>
      </c>
      <c r="B31" s="106">
        <v>145</v>
      </c>
      <c r="C31" s="107">
        <f t="shared" si="2"/>
        <v>122734</v>
      </c>
      <c r="D31" s="111">
        <v>87422</v>
      </c>
      <c r="E31" s="111">
        <v>11802</v>
      </c>
      <c r="F31" s="112">
        <v>23510</v>
      </c>
      <c r="G31" s="21"/>
      <c r="K31" s="332"/>
    </row>
    <row r="32" spans="1:12" s="331" customFormat="1" ht="18.75" customHeight="1" thickBot="1">
      <c r="A32" s="80" t="s">
        <v>418</v>
      </c>
      <c r="B32" s="106"/>
      <c r="C32" s="107">
        <f t="shared" si="2"/>
        <v>63900</v>
      </c>
      <c r="D32" s="111">
        <v>0</v>
      </c>
      <c r="E32" s="111">
        <v>0</v>
      </c>
      <c r="F32" s="112">
        <v>63900</v>
      </c>
      <c r="G32" s="419"/>
      <c r="H32" s="363"/>
      <c r="L32" s="332"/>
    </row>
    <row r="33" spans="1:11" s="2" customFormat="1" ht="18.75" customHeight="1" thickBot="1">
      <c r="A33" s="466"/>
      <c r="B33" s="241"/>
      <c r="C33" s="19"/>
      <c r="D33" s="467"/>
      <c r="E33" s="467"/>
      <c r="F33" s="468"/>
      <c r="G33" s="1"/>
      <c r="K33"/>
    </row>
    <row r="34" spans="1:11" s="2" customFormat="1" ht="18.75" customHeight="1" thickBot="1">
      <c r="A34" s="81" t="s">
        <v>44</v>
      </c>
      <c r="B34" s="108">
        <f>SUM(B8:B33)</f>
        <v>213</v>
      </c>
      <c r="C34" s="109">
        <f>SUM(C8:C33)</f>
        <v>314496</v>
      </c>
      <c r="D34" s="109">
        <f>SUM(D8:D33)</f>
        <v>143620</v>
      </c>
      <c r="E34" s="109">
        <f>SUM(E8:E33)</f>
        <v>24703</v>
      </c>
      <c r="F34" s="75">
        <f>SUM(F8:F33)</f>
        <v>146173</v>
      </c>
      <c r="G34" s="21"/>
      <c r="H34" s="21"/>
      <c r="I34" s="21"/>
      <c r="J34" s="21"/>
      <c r="K3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9.375" style="324" bestFit="1" customWidth="1"/>
    <col min="2" max="3" width="10.00390625" style="420" customWidth="1"/>
    <col min="4" max="4" width="10.75390625" style="27" customWidth="1"/>
    <col min="5" max="5" width="11.875" style="27" customWidth="1"/>
    <col min="6" max="6" width="12.25390625" style="27" customWidth="1"/>
    <col min="7" max="7" width="9.125" style="63" customWidth="1"/>
  </cols>
  <sheetData>
    <row r="1" spans="1:7" ht="42.75" customHeight="1">
      <c r="A1" s="759" t="s">
        <v>579</v>
      </c>
      <c r="B1" s="760"/>
      <c r="C1" s="29"/>
      <c r="D1" s="162"/>
      <c r="E1" s="162"/>
      <c r="F1" s="162"/>
      <c r="G1" s="173"/>
    </row>
    <row r="2" spans="1:7" ht="12.75">
      <c r="A2" s="135"/>
      <c r="B2" s="174"/>
      <c r="C2" s="174"/>
      <c r="D2" s="174"/>
      <c r="E2" s="174"/>
      <c r="F2" s="174"/>
      <c r="G2" s="175"/>
    </row>
    <row r="3" spans="1:7" ht="12.75">
      <c r="A3" s="851" t="s">
        <v>392</v>
      </c>
      <c r="B3" s="851"/>
      <c r="C3" s="439"/>
      <c r="D3" s="174"/>
      <c r="F3" s="176"/>
      <c r="G3" s="177"/>
    </row>
    <row r="4" spans="1:7" ht="12.75">
      <c r="A4" s="439"/>
      <c r="B4" s="439"/>
      <c r="C4" s="439"/>
      <c r="D4" s="174"/>
      <c r="F4" s="176"/>
      <c r="G4" s="177"/>
    </row>
    <row r="5" spans="2:4" ht="13.5" thickBot="1">
      <c r="B5" s="439" t="s">
        <v>40</v>
      </c>
      <c r="C5" s="439"/>
      <c r="D5" s="7"/>
    </row>
    <row r="6" spans="1:9" ht="16.5" customHeight="1">
      <c r="A6" s="187" t="s">
        <v>41</v>
      </c>
      <c r="B6" s="186" t="s">
        <v>73</v>
      </c>
      <c r="C6" s="298"/>
      <c r="D6" s="180"/>
      <c r="G6" s="27"/>
      <c r="H6" s="2"/>
      <c r="I6" s="2"/>
    </row>
    <row r="7" spans="1:9" s="332" customFormat="1" ht="16.5" customHeight="1">
      <c r="A7" s="217" t="s">
        <v>238</v>
      </c>
      <c r="B7" s="452">
        <f>1200+34-243+243</f>
        <v>1234</v>
      </c>
      <c r="C7" s="419"/>
      <c r="D7" s="357"/>
      <c r="E7" s="333"/>
      <c r="F7" s="333"/>
      <c r="G7" s="333"/>
      <c r="H7" s="333"/>
      <c r="I7" s="331"/>
    </row>
    <row r="8" spans="1:9" ht="16.5" customHeight="1">
      <c r="A8" s="217" t="s">
        <v>516</v>
      </c>
      <c r="B8" s="452">
        <v>59348</v>
      </c>
      <c r="C8" s="419"/>
      <c r="D8" s="6"/>
      <c r="G8" s="27"/>
      <c r="H8" s="2"/>
      <c r="I8" s="2"/>
    </row>
    <row r="9" spans="1:9" ht="16.5" customHeight="1">
      <c r="A9" s="122" t="s">
        <v>737</v>
      </c>
      <c r="B9" s="452">
        <v>2522</v>
      </c>
      <c r="C9" s="419"/>
      <c r="D9" s="6"/>
      <c r="G9" s="27"/>
      <c r="H9" s="2"/>
      <c r="I9" s="2"/>
    </row>
    <row r="10" spans="1:9" ht="16.5" customHeight="1">
      <c r="A10" s="217" t="s">
        <v>478</v>
      </c>
      <c r="B10" s="452">
        <v>2825</v>
      </c>
      <c r="C10" s="419"/>
      <c r="D10" s="6"/>
      <c r="G10" s="27"/>
      <c r="H10" s="2"/>
      <c r="I10" s="2"/>
    </row>
    <row r="11" spans="1:9" ht="16.5" customHeight="1">
      <c r="A11" s="217" t="s">
        <v>632</v>
      </c>
      <c r="B11" s="452">
        <v>0</v>
      </c>
      <c r="C11" s="419"/>
      <c r="D11" s="6"/>
      <c r="G11" s="27"/>
      <c r="H11" s="2"/>
      <c r="I11" s="2"/>
    </row>
    <row r="12" spans="1:9" ht="16.5" customHeight="1">
      <c r="A12" s="122" t="s">
        <v>4</v>
      </c>
      <c r="B12" s="452">
        <f>17754+2907+13</f>
        <v>20674</v>
      </c>
      <c r="C12" s="419"/>
      <c r="D12" s="6"/>
      <c r="G12" s="27"/>
      <c r="H12" s="2"/>
      <c r="I12" s="2"/>
    </row>
    <row r="13" spans="1:9" s="424" customFormat="1" ht="16.5" customHeight="1">
      <c r="A13" s="156" t="s">
        <v>550</v>
      </c>
      <c r="B13" s="157">
        <v>1097</v>
      </c>
      <c r="C13" s="419"/>
      <c r="D13" s="421"/>
      <c r="E13" s="422"/>
      <c r="F13" s="422"/>
      <c r="G13" s="422"/>
      <c r="H13" s="423"/>
      <c r="I13" s="423"/>
    </row>
    <row r="14" spans="1:9" s="332" customFormat="1" ht="16.5" customHeight="1">
      <c r="A14" s="121" t="s">
        <v>5</v>
      </c>
      <c r="B14" s="157">
        <v>2428</v>
      </c>
      <c r="C14" s="419"/>
      <c r="D14" s="357"/>
      <c r="E14" s="333"/>
      <c r="F14" s="333"/>
      <c r="G14" s="333"/>
      <c r="H14" s="331"/>
      <c r="I14" s="331"/>
    </row>
    <row r="15" spans="1:8" ht="16.5" customHeight="1">
      <c r="A15" s="274" t="s">
        <v>715</v>
      </c>
      <c r="B15" s="72">
        <v>1467</v>
      </c>
      <c r="C15" s="6"/>
      <c r="D15" s="6"/>
      <c r="G15" s="27"/>
      <c r="H15" s="2"/>
    </row>
    <row r="16" spans="1:8" ht="16.5" customHeight="1">
      <c r="A16" s="274" t="s">
        <v>716</v>
      </c>
      <c r="B16" s="72">
        <v>1446</v>
      </c>
      <c r="C16" s="6"/>
      <c r="D16" s="6"/>
      <c r="G16" s="27"/>
      <c r="H16" s="2"/>
    </row>
    <row r="17" spans="1:8" ht="16.5" customHeight="1">
      <c r="A17" s="274" t="s">
        <v>717</v>
      </c>
      <c r="B17" s="72">
        <v>8747</v>
      </c>
      <c r="C17" s="6"/>
      <c r="D17" s="6"/>
      <c r="G17" s="27"/>
      <c r="H17" s="2"/>
    </row>
    <row r="18" spans="1:9" s="332" customFormat="1" ht="16.5" customHeight="1" thickBot="1">
      <c r="A18" s="245" t="s">
        <v>239</v>
      </c>
      <c r="B18" s="246">
        <f>25+29</f>
        <v>54</v>
      </c>
      <c r="C18" s="180"/>
      <c r="D18" s="357"/>
      <c r="E18" s="333"/>
      <c r="F18" s="333"/>
      <c r="G18" s="333"/>
      <c r="H18" s="331"/>
      <c r="I18" s="331"/>
    </row>
    <row r="19" spans="1:9" ht="16.5" customHeight="1" thickBot="1">
      <c r="A19" s="181" t="s">
        <v>248</v>
      </c>
      <c r="B19" s="303">
        <f>SUM(B7:B18)</f>
        <v>101842</v>
      </c>
      <c r="C19" s="419"/>
      <c r="D19" s="180"/>
      <c r="G19" s="27"/>
      <c r="H19" s="2"/>
      <c r="I19" s="2"/>
    </row>
    <row r="20" spans="1:9" s="332" customFormat="1" ht="16.5" customHeight="1">
      <c r="A20" s="243" t="s">
        <v>238</v>
      </c>
      <c r="B20" s="244">
        <v>216</v>
      </c>
      <c r="C20" s="419"/>
      <c r="D20" s="357"/>
      <c r="E20" s="333"/>
      <c r="F20" s="333"/>
      <c r="G20" s="333"/>
      <c r="H20" s="333"/>
      <c r="I20" s="331"/>
    </row>
    <row r="21" spans="1:9" ht="16.5" customHeight="1" thickBot="1">
      <c r="A21" s="699" t="s">
        <v>714</v>
      </c>
      <c r="B21" s="468">
        <v>4448</v>
      </c>
      <c r="C21" s="180"/>
      <c r="D21" s="180"/>
      <c r="G21" s="27"/>
      <c r="H21" s="2"/>
      <c r="I21" s="2"/>
    </row>
    <row r="22" spans="1:9" ht="16.5" customHeight="1" thickBot="1">
      <c r="A22" s="22" t="s">
        <v>250</v>
      </c>
      <c r="B22" s="149">
        <f>SUM(B20:B21)</f>
        <v>4664</v>
      </c>
      <c r="C22" s="184"/>
      <c r="D22" s="180"/>
      <c r="G22" s="27"/>
      <c r="H22" s="2"/>
      <c r="I22" s="2"/>
    </row>
    <row r="23" spans="1:9" ht="16.5" customHeight="1" thickBot="1">
      <c r="A23" s="183" t="s">
        <v>252</v>
      </c>
      <c r="B23" s="75">
        <f>SUM(B19+B22)</f>
        <v>106506</v>
      </c>
      <c r="C23" s="180"/>
      <c r="D23" s="184"/>
      <c r="G23" s="27"/>
      <c r="H23" s="2"/>
      <c r="I23" s="2"/>
    </row>
    <row r="24" spans="1:4" s="27" customFormat="1" ht="12.75">
      <c r="A24" s="185"/>
      <c r="B24" s="180"/>
      <c r="C24" s="180"/>
      <c r="D24" s="180"/>
    </row>
    <row r="25" spans="1:4" s="27" customFormat="1" ht="12.75">
      <c r="A25" s="185"/>
      <c r="B25" s="180"/>
      <c r="C25" s="180"/>
      <c r="D25" s="180"/>
    </row>
    <row r="26" spans="1:4" s="27" customFormat="1" ht="12.75">
      <c r="A26" s="185"/>
      <c r="B26" s="180"/>
      <c r="C26" s="420"/>
      <c r="D26" s="180"/>
    </row>
    <row r="27" spans="1:3" s="27" customFormat="1" ht="23.25" customHeight="1">
      <c r="A27" s="324"/>
      <c r="B27" s="420"/>
      <c r="C27" s="420"/>
    </row>
    <row r="28" spans="1:7" s="27" customFormat="1" ht="13.5" customHeight="1">
      <c r="A28" s="324"/>
      <c r="B28" s="420"/>
      <c r="C28" s="420"/>
      <c r="G28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08" r:id="rId1"/>
  <colBreaks count="1" manualBreakCount="1">
    <brk id="6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420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15.75">
      <c r="A3" s="758" t="s">
        <v>580</v>
      </c>
      <c r="B3" s="758"/>
      <c r="C3" s="174"/>
      <c r="E3" s="176"/>
      <c r="F3" s="177"/>
    </row>
    <row r="4" spans="1:3" ht="12.75">
      <c r="A4" s="135"/>
      <c r="B4" s="174"/>
      <c r="C4" s="439"/>
    </row>
    <row r="5" spans="1:3" ht="12.75">
      <c r="A5" s="851" t="s">
        <v>393</v>
      </c>
      <c r="B5" s="851"/>
      <c r="C5" s="180"/>
    </row>
    <row r="6" spans="2:3" ht="13.5" thickBot="1">
      <c r="B6" s="439" t="s">
        <v>40</v>
      </c>
      <c r="C6" s="419"/>
    </row>
    <row r="7" spans="1:7" ht="19.5" customHeight="1">
      <c r="A7" s="178" t="s">
        <v>41</v>
      </c>
      <c r="B7" s="179" t="s">
        <v>73</v>
      </c>
      <c r="C7" s="419"/>
      <c r="F7" s="27"/>
      <c r="G7" s="2"/>
    </row>
    <row r="8" spans="1:7" s="332" customFormat="1" ht="19.5" customHeight="1">
      <c r="A8" s="156" t="s">
        <v>241</v>
      </c>
      <c r="B8" s="157">
        <v>200</v>
      </c>
      <c r="C8" s="419"/>
      <c r="D8" s="333"/>
      <c r="E8" s="333"/>
      <c r="F8" s="333"/>
      <c r="G8" s="331"/>
    </row>
    <row r="9" spans="1:7" s="332" customFormat="1" ht="19.5" customHeight="1">
      <c r="A9" s="156" t="s">
        <v>242</v>
      </c>
      <c r="B9" s="157">
        <f>3500+3700+400</f>
        <v>7600</v>
      </c>
      <c r="C9" s="419"/>
      <c r="D9" s="333"/>
      <c r="E9" s="333"/>
      <c r="F9" s="333"/>
      <c r="G9" s="331"/>
    </row>
    <row r="10" spans="1:7" s="332" customFormat="1" ht="19.5" customHeight="1">
      <c r="A10" s="156" t="s">
        <v>240</v>
      </c>
      <c r="B10" s="157">
        <v>2500</v>
      </c>
      <c r="C10" s="419"/>
      <c r="D10" s="333"/>
      <c r="E10" s="333"/>
      <c r="F10" s="333"/>
      <c r="G10" s="331"/>
    </row>
    <row r="11" spans="1:7" s="332" customFormat="1" ht="19.5" customHeight="1">
      <c r="A11" s="156" t="s">
        <v>243</v>
      </c>
      <c r="B11" s="157">
        <v>98</v>
      </c>
      <c r="C11" s="419"/>
      <c r="D11" s="333"/>
      <c r="E11" s="333"/>
      <c r="F11" s="333"/>
      <c r="G11" s="331"/>
    </row>
    <row r="12" spans="1:7" s="332" customFormat="1" ht="19.5" customHeight="1">
      <c r="A12" s="156" t="s">
        <v>244</v>
      </c>
      <c r="B12" s="157">
        <v>2500</v>
      </c>
      <c r="C12" s="180"/>
      <c r="D12" s="333"/>
      <c r="E12" s="333"/>
      <c r="F12" s="333"/>
      <c r="G12" s="331"/>
    </row>
    <row r="13" spans="1:7" s="332" customFormat="1" ht="19.5" customHeight="1">
      <c r="A13" s="121" t="s">
        <v>789</v>
      </c>
      <c r="B13" s="157">
        <v>11156</v>
      </c>
      <c r="C13" s="180"/>
      <c r="D13" s="333"/>
      <c r="E13" s="333"/>
      <c r="F13" s="333"/>
      <c r="G13" s="331"/>
    </row>
    <row r="14" spans="1:7" s="332" customFormat="1" ht="19.5" customHeight="1">
      <c r="A14" s="156" t="s">
        <v>245</v>
      </c>
      <c r="B14" s="157">
        <v>0</v>
      </c>
      <c r="C14" s="180"/>
      <c r="D14" s="333"/>
      <c r="E14" s="333"/>
      <c r="F14" s="333"/>
      <c r="G14" s="331"/>
    </row>
    <row r="15" spans="1:7" ht="19.5" customHeight="1">
      <c r="A15" s="156" t="s">
        <v>246</v>
      </c>
      <c r="B15" s="157">
        <v>0</v>
      </c>
      <c r="C15" s="180"/>
      <c r="F15" s="27"/>
      <c r="G15" s="2"/>
    </row>
    <row r="16" spans="1:7" s="332" customFormat="1" ht="19.5" customHeight="1" thickBot="1">
      <c r="A16" s="217" t="s">
        <v>247</v>
      </c>
      <c r="B16" s="452">
        <v>20</v>
      </c>
      <c r="C16" s="420"/>
      <c r="D16" s="333"/>
      <c r="E16" s="333"/>
      <c r="F16" s="333"/>
      <c r="G16" s="331"/>
    </row>
    <row r="17" spans="1:7" ht="19.5" customHeight="1" thickBot="1">
      <c r="A17" s="22" t="s">
        <v>249</v>
      </c>
      <c r="B17" s="149">
        <f>SUM(B8:B16)</f>
        <v>24074</v>
      </c>
      <c r="F17" s="27"/>
      <c r="G17" s="2"/>
    </row>
    <row r="18" spans="1:7" s="63" customFormat="1" ht="19.5" customHeight="1">
      <c r="A18" s="738" t="s">
        <v>790</v>
      </c>
      <c r="B18" s="249">
        <v>2053</v>
      </c>
      <c r="C18" s="420"/>
      <c r="D18" s="27"/>
      <c r="E18" s="27"/>
      <c r="F18" s="27"/>
      <c r="G18" s="27"/>
    </row>
    <row r="19" spans="1:7" s="63" customFormat="1" ht="19.5" customHeight="1" thickBot="1">
      <c r="A19" s="123" t="s">
        <v>791</v>
      </c>
      <c r="B19" s="210">
        <v>4762</v>
      </c>
      <c r="C19" s="420"/>
      <c r="D19" s="27"/>
      <c r="E19" s="27"/>
      <c r="F19" s="27"/>
      <c r="G19" s="27"/>
    </row>
    <row r="20" spans="1:7" s="63" customFormat="1" ht="19.5" customHeight="1" thickBot="1">
      <c r="A20" s="181" t="s">
        <v>251</v>
      </c>
      <c r="B20" s="303">
        <f>SUM(B18:B19)</f>
        <v>6815</v>
      </c>
      <c r="C20" s="420"/>
      <c r="D20" s="27"/>
      <c r="E20" s="27"/>
      <c r="F20" s="27"/>
      <c r="G20" s="27"/>
    </row>
    <row r="21" spans="1:5" s="63" customFormat="1" ht="16.5" thickBot="1">
      <c r="A21" s="183" t="s">
        <v>253</v>
      </c>
      <c r="B21" s="75">
        <f>SUM(B17+B20)</f>
        <v>30889</v>
      </c>
      <c r="C21" s="420"/>
      <c r="D21" s="27"/>
      <c r="E21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7" width="12.25390625" style="27" customWidth="1"/>
    <col min="8" max="8" width="10.00390625" style="27" bestFit="1" customWidth="1"/>
    <col min="9" max="9" width="9.125" style="2" customWidth="1"/>
    <col min="10" max="10" width="10.75390625" style="188" bestFit="1" customWidth="1"/>
    <col min="11" max="11" width="10.125" style="0" bestFit="1" customWidth="1"/>
    <col min="12" max="12" width="11.125" style="0" bestFit="1" customWidth="1"/>
    <col min="13" max="15" width="10.125" style="0" bestFit="1" customWidth="1"/>
  </cols>
  <sheetData>
    <row r="1" ht="23.25" customHeight="1"/>
    <row r="2" spans="1:8" ht="15.75">
      <c r="A2" s="755" t="s">
        <v>582</v>
      </c>
      <c r="B2" s="755"/>
      <c r="C2" s="755"/>
      <c r="D2" s="755"/>
      <c r="E2" s="755"/>
      <c r="F2" s="279"/>
      <c r="G2" s="279"/>
      <c r="H2" s="189"/>
    </row>
    <row r="3" spans="1:8" ht="15.75">
      <c r="A3" s="279"/>
      <c r="B3" s="279"/>
      <c r="C3" s="279"/>
      <c r="D3" s="279"/>
      <c r="E3" s="279"/>
      <c r="F3" s="279"/>
      <c r="G3" s="279"/>
      <c r="H3" s="189"/>
    </row>
    <row r="4" spans="5:7" ht="12.75">
      <c r="E4" s="439" t="s">
        <v>581</v>
      </c>
      <c r="F4" s="7"/>
      <c r="G4" s="7"/>
    </row>
    <row r="5" spans="5:7" ht="12.75">
      <c r="E5" s="439"/>
      <c r="F5" s="7"/>
      <c r="G5" s="7"/>
    </row>
    <row r="6" spans="3:8" ht="13.5" thickBot="1">
      <c r="C6" s="419"/>
      <c r="D6" s="419"/>
      <c r="E6" s="439" t="s">
        <v>40</v>
      </c>
      <c r="F6" s="7"/>
      <c r="G6" s="7"/>
      <c r="H6" s="7"/>
    </row>
    <row r="7" spans="1:18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98"/>
      <c r="G7" s="298"/>
      <c r="H7" s="2"/>
      <c r="K7" s="27"/>
      <c r="L7" s="63"/>
      <c r="M7" s="63"/>
      <c r="N7" s="63"/>
      <c r="O7" s="63"/>
      <c r="P7" s="63"/>
      <c r="Q7" s="63"/>
      <c r="R7" s="63"/>
    </row>
    <row r="8" spans="1:18" ht="24" customHeight="1">
      <c r="A8" s="747"/>
      <c r="B8" s="749"/>
      <c r="C8" s="751"/>
      <c r="D8" s="751"/>
      <c r="E8" s="753"/>
      <c r="F8" s="298"/>
      <c r="G8" s="298"/>
      <c r="I8" s="27"/>
      <c r="K8" s="27"/>
      <c r="L8" s="27"/>
      <c r="M8" s="27"/>
      <c r="N8" s="27"/>
      <c r="O8" s="27"/>
      <c r="P8" s="27"/>
      <c r="Q8" s="27"/>
      <c r="R8" s="63"/>
    </row>
    <row r="9" spans="1:18" s="332" customFormat="1" ht="12.75">
      <c r="A9" s="156" t="s">
        <v>479</v>
      </c>
      <c r="B9" s="469">
        <v>35</v>
      </c>
      <c r="C9" s="470">
        <v>0</v>
      </c>
      <c r="D9" s="471">
        <v>9696</v>
      </c>
      <c r="E9" s="157">
        <v>0</v>
      </c>
      <c r="F9" s="357"/>
      <c r="G9" s="357"/>
      <c r="H9" s="331"/>
      <c r="I9" s="331"/>
      <c r="J9" s="358"/>
      <c r="K9" s="333"/>
      <c r="L9" s="333"/>
      <c r="M9" s="333"/>
      <c r="N9" s="333"/>
      <c r="O9" s="333"/>
      <c r="P9" s="333"/>
      <c r="Q9" s="333"/>
      <c r="R9" s="359"/>
    </row>
    <row r="10" spans="1:18" s="332" customFormat="1" ht="12.75">
      <c r="A10" s="156" t="s">
        <v>258</v>
      </c>
      <c r="B10" s="469">
        <v>550</v>
      </c>
      <c r="C10" s="470">
        <v>0</v>
      </c>
      <c r="D10" s="471">
        <v>169290</v>
      </c>
      <c r="E10" s="157">
        <v>0</v>
      </c>
      <c r="F10" s="357"/>
      <c r="G10" s="357"/>
      <c r="H10" s="331"/>
      <c r="I10" s="331"/>
      <c r="J10" s="358"/>
      <c r="K10" s="333"/>
      <c r="L10" s="333"/>
      <c r="M10" s="333"/>
      <c r="N10" s="333"/>
      <c r="O10" s="333"/>
      <c r="P10" s="333"/>
      <c r="Q10" s="333"/>
      <c r="R10" s="359"/>
    </row>
    <row r="11" spans="1:18" s="332" customFormat="1" ht="12.75">
      <c r="A11" s="156" t="s">
        <v>583</v>
      </c>
      <c r="B11" s="469">
        <v>6</v>
      </c>
      <c r="C11" s="470">
        <v>0</v>
      </c>
      <c r="D11" s="471">
        <v>142</v>
      </c>
      <c r="E11" s="157">
        <v>0</v>
      </c>
      <c r="F11" s="357"/>
      <c r="G11" s="357"/>
      <c r="H11" s="331"/>
      <c r="I11" s="331"/>
      <c r="J11" s="358"/>
      <c r="K11" s="333"/>
      <c r="L11" s="333"/>
      <c r="M11" s="333"/>
      <c r="N11" s="333"/>
      <c r="O11" s="333"/>
      <c r="P11" s="333"/>
      <c r="Q11" s="333"/>
      <c r="R11" s="359"/>
    </row>
    <row r="12" spans="1:18" s="332" customFormat="1" ht="12.75">
      <c r="A12" s="156" t="s">
        <v>259</v>
      </c>
      <c r="B12" s="469">
        <v>850</v>
      </c>
      <c r="C12" s="470">
        <v>0</v>
      </c>
      <c r="D12" s="471">
        <v>45900</v>
      </c>
      <c r="E12" s="157">
        <v>0</v>
      </c>
      <c r="F12" s="357"/>
      <c r="G12" s="357"/>
      <c r="H12" s="357"/>
      <c r="I12" s="331"/>
      <c r="J12" s="358"/>
      <c r="K12" s="333"/>
      <c r="L12" s="333"/>
      <c r="M12" s="333"/>
      <c r="N12" s="333"/>
      <c r="O12" s="333"/>
      <c r="P12" s="333"/>
      <c r="Q12" s="333"/>
      <c r="R12" s="359"/>
    </row>
    <row r="13" spans="1:18" s="332" customFormat="1" ht="12.75">
      <c r="A13" s="156" t="s">
        <v>584</v>
      </c>
      <c r="B13" s="469">
        <v>87</v>
      </c>
      <c r="C13" s="470">
        <v>0</v>
      </c>
      <c r="D13" s="471">
        <v>2234</v>
      </c>
      <c r="E13" s="157">
        <v>0</v>
      </c>
      <c r="F13" s="357"/>
      <c r="G13" s="357"/>
      <c r="H13" s="331"/>
      <c r="I13" s="331"/>
      <c r="J13" s="358"/>
      <c r="K13" s="333"/>
      <c r="L13" s="360"/>
      <c r="M13" s="360"/>
      <c r="N13" s="333"/>
      <c r="O13" s="360"/>
      <c r="P13" s="333"/>
      <c r="Q13" s="333"/>
      <c r="R13" s="359"/>
    </row>
    <row r="14" spans="1:18" s="332" customFormat="1" ht="12.75">
      <c r="A14" s="156" t="s">
        <v>261</v>
      </c>
      <c r="B14" s="469">
        <v>120</v>
      </c>
      <c r="C14" s="470">
        <f aca="true" t="shared" si="0" ref="C14:C24">SUM(E14-D14)</f>
        <v>1200</v>
      </c>
      <c r="D14" s="471">
        <v>0</v>
      </c>
      <c r="E14" s="157">
        <v>1200</v>
      </c>
      <c r="F14" s="357"/>
      <c r="G14" s="357"/>
      <c r="H14" s="331"/>
      <c r="I14" s="357"/>
      <c r="J14" s="358"/>
      <c r="K14" s="333"/>
      <c r="L14" s="333"/>
      <c r="M14" s="333"/>
      <c r="N14" s="333"/>
      <c r="O14" s="333"/>
      <c r="P14" s="333"/>
      <c r="Q14" s="333"/>
      <c r="R14" s="359"/>
    </row>
    <row r="15" spans="1:18" s="332" customFormat="1" ht="12.75">
      <c r="A15" s="156" t="s">
        <v>262</v>
      </c>
      <c r="B15" s="469">
        <v>25</v>
      </c>
      <c r="C15" s="470">
        <f t="shared" si="0"/>
        <v>800</v>
      </c>
      <c r="D15" s="471">
        <v>0</v>
      </c>
      <c r="E15" s="157">
        <v>800</v>
      </c>
      <c r="F15" s="357"/>
      <c r="G15" s="357"/>
      <c r="H15" s="331"/>
      <c r="I15" s="331"/>
      <c r="J15" s="358"/>
      <c r="K15" s="333"/>
      <c r="L15" s="333"/>
      <c r="M15" s="333"/>
      <c r="N15" s="333"/>
      <c r="O15" s="333"/>
      <c r="P15" s="333"/>
      <c r="Q15" s="333"/>
      <c r="R15" s="359"/>
    </row>
    <row r="16" spans="1:18" s="332" customFormat="1" ht="12.75">
      <c r="A16" s="156" t="s">
        <v>263</v>
      </c>
      <c r="B16" s="469">
        <v>75</v>
      </c>
      <c r="C16" s="470">
        <f t="shared" si="0"/>
        <v>750</v>
      </c>
      <c r="D16" s="471">
        <v>0</v>
      </c>
      <c r="E16" s="157">
        <v>750</v>
      </c>
      <c r="F16" s="357"/>
      <c r="G16" s="357"/>
      <c r="H16" s="331"/>
      <c r="I16" s="331"/>
      <c r="J16" s="358"/>
      <c r="K16" s="333"/>
      <c r="L16" s="333"/>
      <c r="M16" s="333"/>
      <c r="N16" s="333"/>
      <c r="O16" s="333"/>
      <c r="P16" s="333"/>
      <c r="Q16" s="333"/>
      <c r="R16" s="359"/>
    </row>
    <row r="17" spans="1:18" s="332" customFormat="1" ht="12.75">
      <c r="A17" s="156" t="s">
        <v>264</v>
      </c>
      <c r="B17" s="469">
        <v>0</v>
      </c>
      <c r="C17" s="470">
        <f t="shared" si="0"/>
        <v>0</v>
      </c>
      <c r="D17" s="471">
        <v>0</v>
      </c>
      <c r="E17" s="157">
        <v>0</v>
      </c>
      <c r="F17" s="357"/>
      <c r="G17" s="357"/>
      <c r="H17" s="331"/>
      <c r="I17" s="331"/>
      <c r="J17" s="358"/>
      <c r="K17" s="333"/>
      <c r="L17" s="333"/>
      <c r="M17" s="333"/>
      <c r="N17" s="333"/>
      <c r="O17" s="333"/>
      <c r="P17" s="333"/>
      <c r="Q17" s="333"/>
      <c r="R17" s="359"/>
    </row>
    <row r="18" spans="1:18" s="332" customFormat="1" ht="12.75">
      <c r="A18" s="455" t="s">
        <v>265</v>
      </c>
      <c r="B18" s="469">
        <v>1</v>
      </c>
      <c r="C18" s="470">
        <f t="shared" si="0"/>
        <v>24</v>
      </c>
      <c r="D18" s="471">
        <v>0</v>
      </c>
      <c r="E18" s="157">
        <v>24</v>
      </c>
      <c r="F18" s="357"/>
      <c r="G18" s="357"/>
      <c r="H18" s="331"/>
      <c r="I18" s="331"/>
      <c r="J18" s="358"/>
      <c r="K18" s="333"/>
      <c r="L18" s="333"/>
      <c r="M18" s="333"/>
      <c r="N18" s="333"/>
      <c r="O18" s="333"/>
      <c r="P18" s="333"/>
      <c r="Q18" s="333"/>
      <c r="R18" s="359"/>
    </row>
    <row r="19" spans="1:16" s="332" customFormat="1" ht="12.75" customHeight="1">
      <c r="A19" s="455" t="s">
        <v>480</v>
      </c>
      <c r="B19" s="469">
        <v>1000</v>
      </c>
      <c r="C19" s="470">
        <f>SUM(E19-D19)</f>
        <v>0</v>
      </c>
      <c r="D19" s="471">
        <v>12760</v>
      </c>
      <c r="E19" s="157">
        <v>12760</v>
      </c>
      <c r="F19" s="331"/>
      <c r="G19" s="331"/>
      <c r="H19" s="358"/>
      <c r="I19" s="333"/>
      <c r="J19" s="333"/>
      <c r="K19" s="359"/>
      <c r="L19" s="359"/>
      <c r="M19" s="359"/>
      <c r="N19" s="359"/>
      <c r="O19" s="359"/>
      <c r="P19" s="359"/>
    </row>
    <row r="20" spans="1:18" s="332" customFormat="1" ht="12.75">
      <c r="A20" s="455" t="s">
        <v>266</v>
      </c>
      <c r="B20" s="469">
        <v>33</v>
      </c>
      <c r="C20" s="470">
        <v>0</v>
      </c>
      <c r="D20" s="471">
        <v>660</v>
      </c>
      <c r="E20" s="157">
        <v>0</v>
      </c>
      <c r="F20" s="357"/>
      <c r="G20" s="357"/>
      <c r="H20" s="331"/>
      <c r="I20" s="331"/>
      <c r="J20" s="358"/>
      <c r="K20" s="333"/>
      <c r="L20" s="333"/>
      <c r="M20" s="333"/>
      <c r="N20" s="333"/>
      <c r="O20" s="333"/>
      <c r="P20" s="333"/>
      <c r="Q20" s="333"/>
      <c r="R20" s="359"/>
    </row>
    <row r="21" spans="1:18" s="332" customFormat="1" ht="12.75">
      <c r="A21" s="455" t="s">
        <v>267</v>
      </c>
      <c r="B21" s="469">
        <v>90</v>
      </c>
      <c r="C21" s="470">
        <v>0</v>
      </c>
      <c r="D21" s="471">
        <v>1800</v>
      </c>
      <c r="E21" s="157">
        <v>0</v>
      </c>
      <c r="F21" s="357"/>
      <c r="G21" s="357"/>
      <c r="H21" s="331"/>
      <c r="I21" s="331"/>
      <c r="J21" s="358"/>
      <c r="K21" s="333"/>
      <c r="L21" s="333"/>
      <c r="M21" s="333"/>
      <c r="N21" s="333"/>
      <c r="O21" s="333"/>
      <c r="P21" s="333"/>
      <c r="Q21" s="333"/>
      <c r="R21" s="359"/>
    </row>
    <row r="22" spans="1:18" s="332" customFormat="1" ht="12.75">
      <c r="A22" s="217" t="s">
        <v>268</v>
      </c>
      <c r="B22" s="472">
        <v>10</v>
      </c>
      <c r="C22" s="473">
        <f t="shared" si="0"/>
        <v>1000</v>
      </c>
      <c r="D22" s="471">
        <v>0</v>
      </c>
      <c r="E22" s="452">
        <v>1000</v>
      </c>
      <c r="F22" s="357"/>
      <c r="G22" s="357"/>
      <c r="H22" s="331"/>
      <c r="I22" s="331"/>
      <c r="J22" s="358"/>
      <c r="K22" s="333"/>
      <c r="L22" s="333"/>
      <c r="M22" s="333"/>
      <c r="N22" s="333"/>
      <c r="O22" s="333"/>
      <c r="P22" s="333"/>
      <c r="Q22" s="333"/>
      <c r="R22" s="359"/>
    </row>
    <row r="23" spans="1:18" s="332" customFormat="1" ht="12.75">
      <c r="A23" s="217" t="s">
        <v>428</v>
      </c>
      <c r="B23" s="472">
        <v>470</v>
      </c>
      <c r="C23" s="473">
        <v>0</v>
      </c>
      <c r="D23" s="471">
        <v>9099</v>
      </c>
      <c r="E23" s="452">
        <v>9099</v>
      </c>
      <c r="F23" s="357"/>
      <c r="G23" s="357"/>
      <c r="H23" s="333"/>
      <c r="I23" s="331"/>
      <c r="J23" s="358"/>
      <c r="K23" s="333"/>
      <c r="L23" s="333"/>
      <c r="M23" s="333"/>
      <c r="N23" s="333"/>
      <c r="O23" s="333"/>
      <c r="P23" s="333"/>
      <c r="Q23" s="333"/>
      <c r="R23" s="359"/>
    </row>
    <row r="24" spans="1:18" s="332" customFormat="1" ht="13.5" thickBot="1">
      <c r="A24" s="217" t="s">
        <v>270</v>
      </c>
      <c r="B24" s="472">
        <v>1</v>
      </c>
      <c r="C24" s="473">
        <f t="shared" si="0"/>
        <v>0</v>
      </c>
      <c r="D24" s="471">
        <v>11</v>
      </c>
      <c r="E24" s="452">
        <v>11</v>
      </c>
      <c r="F24" s="357"/>
      <c r="G24" s="357"/>
      <c r="H24" s="333"/>
      <c r="I24" s="331"/>
      <c r="J24" s="358"/>
      <c r="K24" s="333"/>
      <c r="L24" s="333"/>
      <c r="M24" s="333"/>
      <c r="N24" s="333"/>
      <c r="O24" s="333"/>
      <c r="P24" s="333"/>
      <c r="Q24" s="333"/>
      <c r="R24" s="359"/>
    </row>
    <row r="25" spans="1:17" ht="18.75" customHeight="1" thickBot="1">
      <c r="A25" s="22" t="s">
        <v>272</v>
      </c>
      <c r="B25" s="193"/>
      <c r="C25" s="107">
        <f>SUM(C9:C24)</f>
        <v>3774</v>
      </c>
      <c r="D25" s="107">
        <f>SUM(D9:D24)</f>
        <v>251592</v>
      </c>
      <c r="E25" s="149">
        <f>SUM(E9:E24)</f>
        <v>25644</v>
      </c>
      <c r="F25" s="180"/>
      <c r="G25" s="180"/>
      <c r="H25" s="2"/>
      <c r="K25" s="2"/>
      <c r="L25" s="2"/>
      <c r="M25" s="2"/>
      <c r="N25" s="2"/>
      <c r="O25" s="2"/>
      <c r="P25" s="2"/>
      <c r="Q25" s="2"/>
    </row>
    <row r="26" spans="10:17" ht="24" customHeight="1">
      <c r="J26" s="27"/>
      <c r="K26" s="2"/>
      <c r="L26" s="2"/>
      <c r="M26" s="2"/>
      <c r="N26" s="2"/>
      <c r="O26" s="2"/>
      <c r="P26" s="2"/>
      <c r="Q26" s="2"/>
    </row>
    <row r="27" spans="11:17" ht="12.75">
      <c r="K27" s="2"/>
      <c r="L27" s="2"/>
      <c r="M27" s="2"/>
      <c r="N27" s="2"/>
      <c r="O27" s="2"/>
      <c r="P27" s="2"/>
      <c r="Q27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G31" sqref="G31"/>
    </sheetView>
  </sheetViews>
  <sheetFormatPr defaultColWidth="9.00390625" defaultRowHeight="12.75"/>
  <cols>
    <col min="1" max="1" width="71.25390625" style="324" bestFit="1" customWidth="1"/>
    <col min="2" max="3" width="13.00390625" style="448" customWidth="1"/>
    <col min="4" max="4" width="9.125" style="324" customWidth="1"/>
    <col min="5" max="6" width="9.125" style="2" customWidth="1"/>
    <col min="7" max="7" width="36.00390625" style="0" bestFit="1" customWidth="1"/>
    <col min="8" max="8" width="13.75390625" style="0" bestFit="1" customWidth="1"/>
  </cols>
  <sheetData>
    <row r="1" spans="2:3" ht="12.75">
      <c r="B1" s="439"/>
      <c r="C1" s="439"/>
    </row>
    <row r="2" spans="2:3" ht="12.75">
      <c r="B2" s="439" t="s">
        <v>585</v>
      </c>
      <c r="C2" s="439"/>
    </row>
    <row r="3" spans="2:3" ht="23.25" customHeight="1" thickBot="1">
      <c r="B3" s="428" t="s">
        <v>40</v>
      </c>
      <c r="C3" s="428"/>
    </row>
    <row r="4" spans="1:6" s="201" customFormat="1" ht="26.25" thickBot="1">
      <c r="A4" s="449" t="s">
        <v>41</v>
      </c>
      <c r="B4" s="450" t="s">
        <v>528</v>
      </c>
      <c r="C4" s="4"/>
      <c r="D4" s="17"/>
      <c r="E4" s="200"/>
      <c r="F4" s="200"/>
    </row>
    <row r="5" spans="1:9" s="332" customFormat="1" ht="20.25" customHeight="1">
      <c r="A5" s="156" t="s">
        <v>487</v>
      </c>
      <c r="B5" s="248">
        <v>8226</v>
      </c>
      <c r="C5" s="474"/>
      <c r="D5" s="420"/>
      <c r="E5" s="331"/>
      <c r="F5" s="333"/>
      <c r="G5" s="488"/>
      <c r="H5"/>
      <c r="I5"/>
    </row>
    <row r="6" spans="1:9" s="332" customFormat="1" ht="20.25" customHeight="1">
      <c r="A6" s="156" t="s">
        <v>488</v>
      </c>
      <c r="B6" s="248">
        <v>1550</v>
      </c>
      <c r="C6" s="474"/>
      <c r="D6" s="420"/>
      <c r="E6" s="331"/>
      <c r="F6" s="333"/>
      <c r="G6"/>
      <c r="H6" s="489"/>
      <c r="I6"/>
    </row>
    <row r="7" spans="1:9" s="332" customFormat="1" ht="20.25" customHeight="1">
      <c r="A7" s="156" t="s">
        <v>501</v>
      </c>
      <c r="B7" s="248">
        <v>15000</v>
      </c>
      <c r="C7" s="474"/>
      <c r="D7" s="420"/>
      <c r="E7" s="331"/>
      <c r="F7" s="333"/>
      <c r="G7"/>
      <c r="H7" s="489"/>
      <c r="I7"/>
    </row>
    <row r="8" spans="1:9" s="332" customFormat="1" ht="20.25" customHeight="1">
      <c r="A8" s="262" t="s">
        <v>765</v>
      </c>
      <c r="B8" s="248">
        <f>31915+185504</f>
        <v>217419</v>
      </c>
      <c r="C8" s="474"/>
      <c r="D8" s="420"/>
      <c r="E8" s="331"/>
      <c r="F8" s="333"/>
      <c r="G8"/>
      <c r="H8" s="490"/>
      <c r="I8"/>
    </row>
    <row r="9" spans="1:8" ht="20.25" customHeight="1">
      <c r="A9" s="262" t="s">
        <v>633</v>
      </c>
      <c r="B9" s="248">
        <v>4200</v>
      </c>
      <c r="C9" s="474"/>
      <c r="D9" s="420"/>
      <c r="G9" s="491"/>
      <c r="H9" s="492"/>
    </row>
    <row r="10" spans="1:8" ht="20.25" customHeight="1">
      <c r="A10" s="262" t="s">
        <v>771</v>
      </c>
      <c r="B10" s="248">
        <f>57601+5146</f>
        <v>62747</v>
      </c>
      <c r="C10" s="474"/>
      <c r="D10" s="420"/>
      <c r="G10" s="491"/>
      <c r="H10" s="492"/>
    </row>
    <row r="11" spans="1:8" ht="20.25" customHeight="1">
      <c r="A11" s="262" t="s">
        <v>634</v>
      </c>
      <c r="B11" s="248">
        <v>8000</v>
      </c>
      <c r="C11" s="474"/>
      <c r="D11" s="420"/>
      <c r="G11" s="491"/>
      <c r="H11" s="492"/>
    </row>
    <row r="12" spans="1:6" ht="20.25" customHeight="1">
      <c r="A12" s="262" t="s">
        <v>719</v>
      </c>
      <c r="B12" s="311">
        <v>650</v>
      </c>
      <c r="C12" s="27"/>
      <c r="D12"/>
      <c r="E12"/>
      <c r="F12"/>
    </row>
    <row r="13" spans="1:6" ht="20.25" customHeight="1">
      <c r="A13" s="262" t="s">
        <v>720</v>
      </c>
      <c r="B13" s="311">
        <v>3000</v>
      </c>
      <c r="C13" s="27"/>
      <c r="D13"/>
      <c r="E13"/>
      <c r="F13"/>
    </row>
    <row r="14" spans="1:6" ht="20.25" customHeight="1">
      <c r="A14" s="262" t="s">
        <v>721</v>
      </c>
      <c r="B14" s="311">
        <v>53</v>
      </c>
      <c r="C14" s="27"/>
      <c r="D14"/>
      <c r="E14"/>
      <c r="F14"/>
    </row>
    <row r="15" spans="1:6" ht="20.25" customHeight="1">
      <c r="A15" s="262" t="s">
        <v>722</v>
      </c>
      <c r="B15" s="311">
        <v>2200</v>
      </c>
      <c r="C15" s="27"/>
      <c r="D15"/>
      <c r="E15"/>
      <c r="F15"/>
    </row>
    <row r="16" spans="1:6" ht="20.25" customHeight="1">
      <c r="A16" s="262" t="s">
        <v>723</v>
      </c>
      <c r="B16" s="311">
        <v>30</v>
      </c>
      <c r="C16" s="27"/>
      <c r="D16"/>
      <c r="E16"/>
      <c r="F16"/>
    </row>
    <row r="17" spans="1:6" ht="20.25" customHeight="1">
      <c r="A17" s="262" t="s">
        <v>724</v>
      </c>
      <c r="B17" s="311">
        <v>660</v>
      </c>
      <c r="C17" s="27"/>
      <c r="D17"/>
      <c r="E17"/>
      <c r="F17"/>
    </row>
    <row r="18" spans="1:6" ht="20.25" customHeight="1">
      <c r="A18" s="262" t="s">
        <v>725</v>
      </c>
      <c r="B18" s="311">
        <v>618</v>
      </c>
      <c r="C18" s="27"/>
      <c r="D18"/>
      <c r="E18"/>
      <c r="F18"/>
    </row>
    <row r="19" spans="1:6" ht="20.25" customHeight="1">
      <c r="A19" s="121" t="s">
        <v>726</v>
      </c>
      <c r="B19" s="311">
        <v>244</v>
      </c>
      <c r="C19" s="27"/>
      <c r="D19"/>
      <c r="E19"/>
      <c r="F19"/>
    </row>
    <row r="20" spans="1:6" ht="20.25" customHeight="1">
      <c r="A20" s="121" t="s">
        <v>727</v>
      </c>
      <c r="B20" s="311">
        <v>1199</v>
      </c>
      <c r="C20" s="27"/>
      <c r="D20"/>
      <c r="E20"/>
      <c r="F20"/>
    </row>
    <row r="21" spans="1:6" ht="20.25" customHeight="1">
      <c r="A21" s="121" t="s">
        <v>728</v>
      </c>
      <c r="B21" s="311">
        <v>50</v>
      </c>
      <c r="C21" s="27"/>
      <c r="D21"/>
      <c r="E21"/>
      <c r="F21"/>
    </row>
    <row r="22" spans="1:8" ht="20.25" customHeight="1">
      <c r="A22" s="156" t="s">
        <v>273</v>
      </c>
      <c r="B22" s="248">
        <v>1241</v>
      </c>
      <c r="C22" s="474"/>
      <c r="D22" s="420"/>
      <c r="G22" s="491"/>
      <c r="H22" s="492"/>
    </row>
    <row r="23" spans="1:8" ht="20.25" customHeight="1">
      <c r="A23" s="144" t="s">
        <v>274</v>
      </c>
      <c r="B23" s="312">
        <f>SUM(B5:B22)</f>
        <v>327087</v>
      </c>
      <c r="C23" s="474"/>
      <c r="D23" s="420"/>
      <c r="H23" s="493"/>
    </row>
    <row r="24" spans="1:8" ht="20.25" customHeight="1">
      <c r="A24" s="494" t="s">
        <v>767</v>
      </c>
      <c r="B24" s="248">
        <f>11000+14400</f>
        <v>25400</v>
      </c>
      <c r="C24" s="474"/>
      <c r="D24" s="420"/>
      <c r="H24" s="489"/>
    </row>
    <row r="25" spans="1:6" ht="20.25" customHeight="1">
      <c r="A25" s="262" t="s">
        <v>729</v>
      </c>
      <c r="B25" s="311">
        <v>3556</v>
      </c>
      <c r="C25" s="27"/>
      <c r="D25"/>
      <c r="E25"/>
      <c r="F25"/>
    </row>
    <row r="26" spans="1:6" ht="20.25" customHeight="1">
      <c r="A26" s="262" t="s">
        <v>730</v>
      </c>
      <c r="B26" s="311">
        <v>28090</v>
      </c>
      <c r="C26" s="27"/>
      <c r="D26"/>
      <c r="E26"/>
      <c r="F26"/>
    </row>
    <row r="27" spans="1:6" ht="20.25" customHeight="1">
      <c r="A27" s="262" t="s">
        <v>731</v>
      </c>
      <c r="B27" s="311">
        <v>13751</v>
      </c>
      <c r="C27" s="27"/>
      <c r="D27"/>
      <c r="E27"/>
      <c r="F27"/>
    </row>
    <row r="28" spans="1:8" ht="20.25" customHeight="1" thickBot="1">
      <c r="A28" s="144" t="s">
        <v>275</v>
      </c>
      <c r="B28" s="313">
        <f>SUM(B24:B27)</f>
        <v>70797</v>
      </c>
      <c r="C28" s="474"/>
      <c r="D28" s="420"/>
      <c r="H28" s="489"/>
    </row>
    <row r="29" spans="1:8" ht="20.25" customHeight="1" thickBot="1">
      <c r="A29" s="22" t="s">
        <v>276</v>
      </c>
      <c r="B29" s="475">
        <f>SUM(B28,B23)</f>
        <v>397884</v>
      </c>
      <c r="C29" s="474"/>
      <c r="D29" s="420"/>
      <c r="G29" s="488"/>
      <c r="H29" s="489"/>
    </row>
    <row r="30" spans="3:4" ht="20.25" customHeight="1">
      <c r="C30" s="474"/>
      <c r="D30" s="420"/>
    </row>
    <row r="31" spans="3:4" ht="20.25" customHeight="1">
      <c r="C31" s="474"/>
      <c r="D31" s="420"/>
    </row>
    <row r="32" spans="3:4" ht="20.25" customHeight="1">
      <c r="C32" s="206"/>
      <c r="D32" s="420"/>
    </row>
    <row r="33" spans="3:6" ht="20.25" customHeight="1">
      <c r="C33" s="474"/>
      <c r="D33" s="420"/>
      <c r="F33" s="27"/>
    </row>
    <row r="34" spans="3:6" ht="20.25" customHeight="1">
      <c r="C34" s="474"/>
      <c r="D34" s="420"/>
      <c r="F34" s="27"/>
    </row>
    <row r="35" spans="3:4" ht="20.25" customHeight="1">
      <c r="C35" s="474"/>
      <c r="D35" s="420"/>
    </row>
    <row r="36" spans="1:6" s="201" customFormat="1" ht="20.25" customHeight="1">
      <c r="A36" s="324"/>
      <c r="B36" s="448"/>
      <c r="C36" s="474"/>
      <c r="D36" s="190"/>
      <c r="E36" s="200"/>
      <c r="F36" s="200"/>
    </row>
    <row r="37" spans="3:4" ht="20.25" customHeight="1">
      <c r="C37" s="474"/>
      <c r="D37" s="420"/>
    </row>
    <row r="38" spans="3:4" ht="20.25" customHeight="1">
      <c r="C38" s="474"/>
      <c r="D38" s="420"/>
    </row>
    <row r="39" spans="3:4" ht="20.25" customHeight="1">
      <c r="C39" s="206"/>
      <c r="D39" s="420"/>
    </row>
    <row r="40" spans="3:4" ht="20.25" customHeight="1">
      <c r="C40" s="476"/>
      <c r="D40" s="420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</sheetData>
  <sheetProtection/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  <headerFooter alignWithMargins="0">
    <oddHeader>&amp;C&amp;"Arial CE,Félkövér"&amp;14Ibrány Város Önkormányzata 2013. évi fejlesztési kiadásai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I10" sqref="I10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182" t="s">
        <v>204</v>
      </c>
      <c r="C4" s="318">
        <f>SUM('ÖNK_költségv.tám.'!B13+'ÖNK_költségv.tám.'!B15+'ÖNK_költségv.tám.'!B17+'ÖNK_költségv.tám.'!B29+'ÖNK_költségv.tám.'!B31)</f>
        <v>213613</v>
      </c>
      <c r="E4" s="119" t="s">
        <v>119</v>
      </c>
      <c r="F4" s="120">
        <f>SUM('ÖNK_Összes kiadás'!C19)</f>
        <v>327087</v>
      </c>
    </row>
    <row r="5" spans="2:11" ht="15" customHeight="1">
      <c r="B5" s="317" t="s">
        <v>91</v>
      </c>
      <c r="C5" s="118">
        <f>SUM('ÖNK_Összes bevétel'!B31)</f>
        <v>3921</v>
      </c>
      <c r="E5" s="121" t="s">
        <v>120</v>
      </c>
      <c r="F5" s="72">
        <f>SUM('ÖNK_Összes kiadás'!C20)</f>
        <v>70797</v>
      </c>
      <c r="H5" s="27"/>
      <c r="K5" s="63"/>
    </row>
    <row r="6" spans="2:6" ht="15" customHeight="1">
      <c r="B6" s="55" t="s">
        <v>211</v>
      </c>
      <c r="C6" s="118">
        <f>SUM('ÖNK_Összes bevétel'!B32)</f>
        <v>13604</v>
      </c>
      <c r="E6" s="121" t="s">
        <v>250</v>
      </c>
      <c r="F6" s="72">
        <f>SUM('ÖNK_Összes kiadás'!C22)</f>
        <v>4664</v>
      </c>
    </row>
    <row r="7" spans="2:6" ht="15" customHeight="1">
      <c r="B7" s="86" t="s">
        <v>94</v>
      </c>
      <c r="C7" s="72">
        <f>SUM('ÖNK_Összes bevétel'!B35)</f>
        <v>3347</v>
      </c>
      <c r="E7" s="121" t="s">
        <v>251</v>
      </c>
      <c r="F7" s="72">
        <f>SUM('ÖNK_Összes kiadás'!C23)</f>
        <v>6815</v>
      </c>
    </row>
    <row r="8" spans="2:6" ht="15" customHeight="1">
      <c r="B8" s="86" t="s">
        <v>127</v>
      </c>
      <c r="C8" s="72">
        <f>SUM('ÖNK_Összes bevétel'!B38)</f>
        <v>354683</v>
      </c>
      <c r="E8" s="122" t="s">
        <v>278</v>
      </c>
      <c r="F8" s="73">
        <f>SUM('ÖNK_Összes kiadás'!C24)</f>
        <v>14040</v>
      </c>
    </row>
    <row r="9" spans="2:11" ht="15" customHeight="1">
      <c r="B9" s="55" t="s">
        <v>128</v>
      </c>
      <c r="C9" s="72">
        <f>SUM('ÖNK_Összes bevétel'!B43)</f>
        <v>0</v>
      </c>
      <c r="E9" s="122" t="s">
        <v>279</v>
      </c>
      <c r="F9" s="73">
        <f>SUM('ÖNK_Összes kiadás'!C25)</f>
        <v>231129</v>
      </c>
      <c r="H9" s="27"/>
      <c r="K9" s="63"/>
    </row>
    <row r="10" spans="2:6" ht="15" customHeight="1">
      <c r="B10" s="209" t="s">
        <v>229</v>
      </c>
      <c r="C10" s="73">
        <f>SUM('ÖNK_Összes bevétel'!B48)</f>
        <v>668</v>
      </c>
      <c r="E10" s="122"/>
      <c r="F10" s="73"/>
    </row>
    <row r="11" spans="2:6" ht="15" customHeight="1" thickBot="1">
      <c r="B11" s="171" t="s">
        <v>232</v>
      </c>
      <c r="C11" s="210">
        <f>SUM('ÖNK_Összes bevétel'!B51)</f>
        <v>68796</v>
      </c>
      <c r="E11" s="132" t="s">
        <v>287</v>
      </c>
      <c r="F11" s="133">
        <f>SUM('ÖNK_Összes kiadás'!C32)</f>
        <v>4100</v>
      </c>
    </row>
    <row r="12" spans="2:11" ht="15" customHeight="1" thickBot="1">
      <c r="B12" s="115" t="s">
        <v>75</v>
      </c>
      <c r="C12" s="125">
        <f>SUM(C4:C11)</f>
        <v>658632</v>
      </c>
      <c r="E12" s="115" t="s">
        <v>76</v>
      </c>
      <c r="F12" s="125">
        <f>SUM(F4:F11)</f>
        <v>658632</v>
      </c>
      <c r="H12" s="27"/>
      <c r="K12" s="63"/>
    </row>
    <row r="13" spans="2:3" ht="15" customHeight="1" thickBot="1">
      <c r="B13" s="126"/>
      <c r="C13" s="126"/>
    </row>
    <row r="14" spans="2:8" ht="15" customHeight="1" thickBot="1">
      <c r="B14" s="115" t="s">
        <v>77</v>
      </c>
      <c r="C14" s="127" t="s">
        <v>73</v>
      </c>
      <c r="E14" s="115" t="s">
        <v>78</v>
      </c>
      <c r="F14" s="116" t="s">
        <v>73</v>
      </c>
      <c r="H14" s="27"/>
    </row>
    <row r="15" spans="2:6" ht="15" customHeight="1">
      <c r="B15" s="117" t="s">
        <v>82</v>
      </c>
      <c r="C15" s="118">
        <f>SUM('ÖNK_Összes bevétel'!B8)</f>
        <v>28321</v>
      </c>
      <c r="E15" s="117" t="s">
        <v>112</v>
      </c>
      <c r="F15" s="118">
        <f>SUM('ÖNK_Összes kiadás'!C9)</f>
        <v>143620</v>
      </c>
    </row>
    <row r="16" spans="1:9" s="18" customFormat="1" ht="15" customHeight="1">
      <c r="A16" s="17"/>
      <c r="B16" s="211" t="s">
        <v>191</v>
      </c>
      <c r="C16" s="118">
        <f>SUM('ÖNK_Összes bevétel'!B15)</f>
        <v>88380</v>
      </c>
      <c r="D16" s="17"/>
      <c r="E16" s="121" t="s">
        <v>113</v>
      </c>
      <c r="F16" s="72">
        <f>SUM('ÖNK_Összes kiadás'!C10)</f>
        <v>24703</v>
      </c>
      <c r="G16" s="17"/>
      <c r="H16" s="17"/>
      <c r="I16" s="17"/>
    </row>
    <row r="17" spans="2:11" ht="15" customHeight="1">
      <c r="B17" s="211" t="s">
        <v>204</v>
      </c>
      <c r="C17" s="118">
        <f>SUM('ÖNK_Összes bevétel'!B22-C4)</f>
        <v>783135</v>
      </c>
      <c r="E17" s="121" t="s">
        <v>114</v>
      </c>
      <c r="F17" s="72">
        <f>SUM('ÖNK_Összes kiadás'!C11)</f>
        <v>146173</v>
      </c>
      <c r="K17" s="63"/>
    </row>
    <row r="18" spans="2:8" ht="15" customHeight="1">
      <c r="B18" s="86" t="s">
        <v>93</v>
      </c>
      <c r="C18" s="72">
        <f>SUM('ÖNK_Összes bevétel'!B34)</f>
        <v>137056</v>
      </c>
      <c r="E18" s="121" t="s">
        <v>248</v>
      </c>
      <c r="F18" s="72">
        <f>SUM('ÖNK_Összes kiadás'!C13)</f>
        <v>101842</v>
      </c>
      <c r="H18" s="27"/>
    </row>
    <row r="19" spans="2:8" ht="15" customHeight="1">
      <c r="B19" s="86" t="s">
        <v>96</v>
      </c>
      <c r="C19" s="72">
        <f>SUM('ÖNK_Összes bevétel'!B37)</f>
        <v>31657</v>
      </c>
      <c r="E19" s="122" t="s">
        <v>249</v>
      </c>
      <c r="F19" s="72">
        <f>SUM('ÖNK_Összes kiadás'!C14)</f>
        <v>24074</v>
      </c>
      <c r="H19" s="27"/>
    </row>
    <row r="20" spans="2:11" ht="15" customHeight="1">
      <c r="B20" s="55" t="s">
        <v>131</v>
      </c>
      <c r="C20" s="72">
        <f>SUM('ÖNK_Összes bevétel'!B42)</f>
        <v>35418</v>
      </c>
      <c r="E20" s="122" t="s">
        <v>254</v>
      </c>
      <c r="F20" s="72">
        <f>SUM('ÖNK_Összes kiadás'!C15)</f>
        <v>25644</v>
      </c>
      <c r="K20" s="63"/>
    </row>
    <row r="21" spans="2:6" ht="15" customHeight="1">
      <c r="B21" s="168" t="s">
        <v>231</v>
      </c>
      <c r="C21" s="157">
        <f>SUM('ÖNK_Összes bevétel'!B50)</f>
        <v>0</v>
      </c>
      <c r="E21" s="122" t="s">
        <v>348</v>
      </c>
      <c r="F21" s="72">
        <f>SUM('ÖNK_Összes kiadás'!C16)</f>
        <v>5328</v>
      </c>
    </row>
    <row r="22" spans="2:11" ht="15" customHeight="1">
      <c r="B22" s="121" t="s">
        <v>277</v>
      </c>
      <c r="C22" s="72">
        <f>SUM('ÖNK_Összes bevétel'!B52)</f>
        <v>0</v>
      </c>
      <c r="E22" s="122" t="s">
        <v>425</v>
      </c>
      <c r="F22" s="72">
        <f>SUM('ÖNK_Összes kiadás'!C17)</f>
        <v>0</v>
      </c>
      <c r="K22" s="63"/>
    </row>
    <row r="23" spans="2:6" ht="15" customHeight="1">
      <c r="B23" s="122"/>
      <c r="C23" s="73"/>
      <c r="E23" s="122" t="s">
        <v>281</v>
      </c>
      <c r="F23" s="72">
        <f>SUM('ÖNK_Összes kiadás'!C26)</f>
        <v>0</v>
      </c>
    </row>
    <row r="24" spans="2:8" ht="15" customHeight="1">
      <c r="B24" s="122"/>
      <c r="C24" s="73"/>
      <c r="E24" s="122" t="s">
        <v>280</v>
      </c>
      <c r="F24" s="72">
        <f>SUM('ÖNK_Összes kiadás'!C27)</f>
        <v>0</v>
      </c>
      <c r="H24" s="27"/>
    </row>
    <row r="25" spans="2:8" ht="15" customHeight="1">
      <c r="B25" s="122"/>
      <c r="C25" s="73"/>
      <c r="E25" s="122" t="s">
        <v>744</v>
      </c>
      <c r="F25" s="73">
        <f>SUM('ÖNK_Összes kiadás'!C28)</f>
        <v>37418</v>
      </c>
      <c r="H25" s="27"/>
    </row>
    <row r="26" spans="2:11" ht="15" customHeight="1" thickBot="1">
      <c r="B26" s="122"/>
      <c r="C26" s="73"/>
      <c r="E26" s="130" t="s">
        <v>288</v>
      </c>
      <c r="F26" s="133">
        <f>SUM('ÖNK_Összes kiadás'!C31)</f>
        <v>595165</v>
      </c>
      <c r="K26" s="63"/>
    </row>
    <row r="27" spans="2:8" ht="15" customHeight="1" thickBot="1">
      <c r="B27" s="115" t="s">
        <v>79</v>
      </c>
      <c r="C27" s="125">
        <f>SUM(C15:C26)</f>
        <v>1103967</v>
      </c>
      <c r="E27" s="115" t="s">
        <v>80</v>
      </c>
      <c r="F27" s="125">
        <f>SUM(F15:F26)</f>
        <v>1103967</v>
      </c>
      <c r="H27" s="27"/>
    </row>
    <row r="28" ht="15" customHeight="1" thickBot="1"/>
    <row r="29" spans="2:6" ht="15" customHeight="1" thickBot="1">
      <c r="B29" s="115" t="s">
        <v>129</v>
      </c>
      <c r="C29" s="125">
        <f>+C12+C27</f>
        <v>1762599</v>
      </c>
      <c r="E29" s="115" t="s">
        <v>130</v>
      </c>
      <c r="F29" s="125">
        <f>+F12+F27</f>
        <v>1762599</v>
      </c>
    </row>
    <row r="30" ht="15" customHeight="1"/>
    <row r="31" spans="3:6" ht="15" customHeight="1">
      <c r="C31" s="27"/>
      <c r="F31" s="27"/>
    </row>
    <row r="32" spans="3:6" ht="15" customHeight="1">
      <c r="C32" s="27"/>
      <c r="D32" s="27"/>
      <c r="F32" s="27"/>
    </row>
    <row r="33" spans="3:6" ht="15" customHeight="1">
      <c r="C33" s="27"/>
      <c r="F33" s="27"/>
    </row>
    <row r="34" spans="3:6" ht="15" customHeight="1">
      <c r="C34" s="27"/>
      <c r="E34" s="27"/>
      <c r="F34" s="27"/>
    </row>
    <row r="35" ht="15" customHeight="1"/>
    <row r="36" ht="15" customHeight="1">
      <c r="D36" s="17"/>
    </row>
    <row r="37" spans="3:8" ht="15" customHeight="1">
      <c r="C37" s="27"/>
      <c r="H37" s="27"/>
    </row>
    <row r="38" ht="15" customHeight="1"/>
  </sheetData>
  <sheetProtection/>
  <mergeCells count="1">
    <mergeCell ref="C1:D1"/>
  </mergeCells>
  <printOptions horizontalCentered="1"/>
  <pageMargins left="0.7874015748031497" right="0.7874015748031497" top="1.07" bottom="0.68" header="0.47" footer="0.5118110236220472"/>
  <pageSetup horizontalDpi="600" verticalDpi="600" orientation="landscape" paperSize="9" scale="91" r:id="rId1"/>
  <headerFooter alignWithMargins="0">
    <oddHeader>&amp;C&amp;"Arial CE,Félkövér"&amp;14 Ibrány Város Önkormányzata 2013. évi felhalmozási és működési mérlege&amp;R37.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G1">
      <selection activeCell="B6" sqref="B6"/>
    </sheetView>
  </sheetViews>
  <sheetFormatPr defaultColWidth="9.00390625" defaultRowHeight="12.75"/>
  <cols>
    <col min="1" max="1" width="59.125" style="2" bestFit="1" customWidth="1"/>
    <col min="2" max="2" width="13.75390625" style="27" customWidth="1"/>
    <col min="3" max="5" width="9.125" style="2" customWidth="1"/>
  </cols>
  <sheetData>
    <row r="1" spans="1:3" ht="38.25" customHeight="1">
      <c r="A1" s="769" t="s">
        <v>527</v>
      </c>
      <c r="B1" s="769"/>
      <c r="C1" s="150"/>
    </row>
    <row r="2" ht="12.75">
      <c r="B2" s="7"/>
    </row>
    <row r="3" spans="1:3" ht="12" customHeight="1">
      <c r="A3" s="770" t="s">
        <v>364</v>
      </c>
      <c r="B3" s="770"/>
      <c r="C3" s="151"/>
    </row>
    <row r="4" ht="21" customHeight="1" thickBot="1">
      <c r="B4" s="7" t="s">
        <v>40</v>
      </c>
    </row>
    <row r="5" spans="1:2" ht="30" customHeight="1" thickBot="1">
      <c r="A5" s="140" t="s">
        <v>41</v>
      </c>
      <c r="B5" s="148" t="s">
        <v>528</v>
      </c>
    </row>
    <row r="6" spans="1:2" ht="16.5" customHeight="1">
      <c r="A6" s="216" t="s">
        <v>193</v>
      </c>
      <c r="B6" s="169">
        <f>SUM('ÖNK_Önk.sajátos műk.bev.'!B6)</f>
        <v>69000</v>
      </c>
    </row>
    <row r="7" spans="1:2" ht="16.5" customHeight="1">
      <c r="A7" s="156" t="s">
        <v>194</v>
      </c>
      <c r="B7" s="157">
        <f>SUM('ÖNK_Önk.sajátos műk.bev.'!B11)</f>
        <v>11220</v>
      </c>
    </row>
    <row r="8" spans="1:7" s="2" customFormat="1" ht="16.5" customHeight="1">
      <c r="A8" s="156" t="s">
        <v>198</v>
      </c>
      <c r="B8" s="157">
        <f>SUM('ÖNK_Önk.sajátos műk.bev.'!B19)</f>
        <v>600</v>
      </c>
      <c r="F8"/>
      <c r="G8"/>
    </row>
    <row r="9" spans="1:7" s="2" customFormat="1" ht="16.5" customHeight="1" thickBot="1">
      <c r="A9" s="156" t="s">
        <v>199</v>
      </c>
      <c r="B9" s="157">
        <f>SUM('ÖNK_Önk.sajátos műk.bev.'!B25)</f>
        <v>7560</v>
      </c>
      <c r="F9"/>
      <c r="G9"/>
    </row>
    <row r="10" spans="1:7" s="2" customFormat="1" ht="18.75" customHeight="1" thickBot="1">
      <c r="A10" s="146" t="s">
        <v>206</v>
      </c>
      <c r="B10" s="149">
        <f>SUM(B6+B7+B8+B9)</f>
        <v>88380</v>
      </c>
      <c r="F10"/>
      <c r="G10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2"/>
  <sheetViews>
    <sheetView zoomScalePageLayoutView="0" workbookViewId="0" topLeftCell="C7">
      <selection activeCell="Q30" sqref="Q3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586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394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6" s="429" customFormat="1" ht="12.75">
      <c r="B8" s="522" t="s">
        <v>81</v>
      </c>
      <c r="C8" s="523">
        <f>SUM('ÖNK_Összes bevétel'!B7)</f>
        <v>116701</v>
      </c>
      <c r="D8" s="524">
        <v>11426</v>
      </c>
      <c r="E8" s="525">
        <v>11427</v>
      </c>
      <c r="F8" s="525">
        <v>11426</v>
      </c>
      <c r="G8" s="525">
        <v>6429</v>
      </c>
      <c r="H8" s="525">
        <v>6428</v>
      </c>
      <c r="I8" s="525">
        <v>6429</v>
      </c>
      <c r="J8" s="525">
        <v>5234</v>
      </c>
      <c r="K8" s="525">
        <v>11580</v>
      </c>
      <c r="L8" s="525">
        <v>11580</v>
      </c>
      <c r="M8" s="525">
        <v>11581</v>
      </c>
      <c r="N8" s="525">
        <v>11580</v>
      </c>
      <c r="O8" s="566">
        <f aca="true" t="shared" si="0" ref="O8:O15">+C8-D8-E8-F8-G8-H8-I8-J8-K8-L8-M8-N8</f>
        <v>11581</v>
      </c>
      <c r="P8" s="477"/>
    </row>
    <row r="9" spans="2:16" s="429" customFormat="1" ht="12.75">
      <c r="B9" s="527" t="s">
        <v>89</v>
      </c>
      <c r="C9" s="512">
        <f>SUM('ÖNK_Összes bevétel'!B21)</f>
        <v>996748</v>
      </c>
      <c r="D9" s="528">
        <v>51713</v>
      </c>
      <c r="E9" s="529">
        <v>51712</v>
      </c>
      <c r="F9" s="529">
        <v>51713</v>
      </c>
      <c r="G9" s="529">
        <v>51629</v>
      </c>
      <c r="H9" s="529">
        <v>51630</v>
      </c>
      <c r="I9" s="529">
        <f>270955+51629</f>
        <v>322584</v>
      </c>
      <c r="J9" s="567">
        <v>47757</v>
      </c>
      <c r="K9" s="567">
        <v>70951</v>
      </c>
      <c r="L9" s="567">
        <v>70951</v>
      </c>
      <c r="M9" s="567">
        <v>74135</v>
      </c>
      <c r="N9" s="567">
        <v>74136</v>
      </c>
      <c r="O9" s="568">
        <f t="shared" si="0"/>
        <v>77837</v>
      </c>
      <c r="P9" s="477"/>
    </row>
    <row r="10" spans="2:16" s="429" customFormat="1" ht="12.75">
      <c r="B10" s="527" t="s">
        <v>90</v>
      </c>
      <c r="C10" s="512">
        <f>SUM('ÖNK_Összes bevétel'!B30)</f>
        <v>17525</v>
      </c>
      <c r="D10" s="528">
        <v>640</v>
      </c>
      <c r="E10" s="529">
        <v>641</v>
      </c>
      <c r="F10" s="529">
        <v>640</v>
      </c>
      <c r="G10" s="529">
        <v>757</v>
      </c>
      <c r="H10" s="529">
        <v>756</v>
      </c>
      <c r="I10" s="529">
        <v>757</v>
      </c>
      <c r="J10" s="529">
        <v>0</v>
      </c>
      <c r="K10" s="529">
        <v>2667</v>
      </c>
      <c r="L10" s="529">
        <v>2667</v>
      </c>
      <c r="M10" s="529">
        <v>2667</v>
      </c>
      <c r="N10" s="529">
        <v>2666</v>
      </c>
      <c r="O10" s="568">
        <f t="shared" si="0"/>
        <v>2667</v>
      </c>
      <c r="P10" s="477"/>
    </row>
    <row r="11" spans="2:16" s="429" customFormat="1" ht="12.75">
      <c r="B11" s="527" t="s">
        <v>92</v>
      </c>
      <c r="C11" s="512">
        <f>SUM('ÖNK_Összes bevétel'!B33)</f>
        <v>140403</v>
      </c>
      <c r="D11" s="528">
        <v>20471</v>
      </c>
      <c r="E11" s="529">
        <v>20470</v>
      </c>
      <c r="F11" s="529">
        <v>20471</v>
      </c>
      <c r="G11" s="529">
        <v>5699</v>
      </c>
      <c r="H11" s="529">
        <v>5698</v>
      </c>
      <c r="I11" s="529">
        <v>5699</v>
      </c>
      <c r="J11" s="567">
        <v>10839</v>
      </c>
      <c r="K11" s="567">
        <v>10131</v>
      </c>
      <c r="L11" s="567">
        <v>10131</v>
      </c>
      <c r="M11" s="567">
        <v>10265</v>
      </c>
      <c r="N11" s="567">
        <v>10264</v>
      </c>
      <c r="O11" s="568">
        <f t="shared" si="0"/>
        <v>10265</v>
      </c>
      <c r="P11" s="477"/>
    </row>
    <row r="12" spans="2:16" s="429" customFormat="1" ht="12.75">
      <c r="B12" s="527" t="s">
        <v>95</v>
      </c>
      <c r="C12" s="512">
        <f>SUM('ÖNK_Összes bevétel'!B36)</f>
        <v>386340</v>
      </c>
      <c r="D12" s="528">
        <v>8158</v>
      </c>
      <c r="E12" s="529">
        <v>8158</v>
      </c>
      <c r="F12" s="529">
        <v>8158</v>
      </c>
      <c r="G12" s="529">
        <v>4181</v>
      </c>
      <c r="H12" s="529">
        <v>4180</v>
      </c>
      <c r="I12" s="529">
        <v>4181</v>
      </c>
      <c r="J12" s="529">
        <v>-1</v>
      </c>
      <c r="K12" s="529">
        <v>10151</v>
      </c>
      <c r="L12" s="529">
        <v>10151</v>
      </c>
      <c r="M12" s="529">
        <v>98324</v>
      </c>
      <c r="N12" s="529">
        <v>98325</v>
      </c>
      <c r="O12" s="568">
        <f t="shared" si="0"/>
        <v>132374</v>
      </c>
      <c r="P12" s="477"/>
    </row>
    <row r="13" spans="2:16" s="429" customFormat="1" ht="25.5">
      <c r="B13" s="531" t="s">
        <v>146</v>
      </c>
      <c r="C13" s="512">
        <f>SUM('ÖNK_Összes bevétel'!B40)</f>
        <v>35418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35418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477"/>
    </row>
    <row r="14" spans="2:16" s="429" customFormat="1" ht="12.75">
      <c r="B14" s="527" t="s">
        <v>226</v>
      </c>
      <c r="C14" s="512">
        <f>SUM('ÖNK_Összes bevétel'!B45)</f>
        <v>69464</v>
      </c>
      <c r="D14" s="528">
        <v>0</v>
      </c>
      <c r="E14" s="528">
        <v>0</v>
      </c>
      <c r="F14" s="528">
        <v>0</v>
      </c>
      <c r="G14" s="528">
        <v>0</v>
      </c>
      <c r="H14" s="528">
        <v>0</v>
      </c>
      <c r="I14" s="528">
        <v>37418</v>
      </c>
      <c r="J14" s="570">
        <v>0</v>
      </c>
      <c r="K14" s="570">
        <v>0</v>
      </c>
      <c r="L14" s="570">
        <v>0</v>
      </c>
      <c r="M14" s="570">
        <v>0</v>
      </c>
      <c r="N14" s="570">
        <v>0</v>
      </c>
      <c r="O14" s="568">
        <f t="shared" si="0"/>
        <v>32046</v>
      </c>
      <c r="P14" s="477"/>
    </row>
    <row r="15" spans="2:16" s="429" customFormat="1" ht="13.5" thickBot="1">
      <c r="B15" s="527" t="s">
        <v>277</v>
      </c>
      <c r="C15" s="512">
        <f>SUM('ÖNK_Összes bevétel'!B52)</f>
        <v>0</v>
      </c>
      <c r="D15" s="528">
        <v>0</v>
      </c>
      <c r="E15" s="528">
        <v>0</v>
      </c>
      <c r="F15" s="528">
        <v>260</v>
      </c>
      <c r="G15" s="528">
        <v>0</v>
      </c>
      <c r="H15" s="528">
        <v>0</v>
      </c>
      <c r="I15" s="528">
        <v>30</v>
      </c>
      <c r="J15" s="570">
        <v>-11475</v>
      </c>
      <c r="K15" s="570">
        <v>0</v>
      </c>
      <c r="L15" s="570">
        <v>0</v>
      </c>
      <c r="M15" s="570">
        <v>3728</v>
      </c>
      <c r="N15" s="570">
        <v>3729</v>
      </c>
      <c r="O15" s="568">
        <f t="shared" si="0"/>
        <v>3728</v>
      </c>
      <c r="P15" s="477"/>
    </row>
    <row r="16" spans="2:17" s="429" customFormat="1" ht="13.5" thickBot="1">
      <c r="B16" s="537" t="s">
        <v>147</v>
      </c>
      <c r="C16" s="538">
        <f aca="true" t="shared" si="1" ref="C16:O16">SUM(C8:C15)</f>
        <v>1762599</v>
      </c>
      <c r="D16" s="539">
        <f t="shared" si="1"/>
        <v>92408</v>
      </c>
      <c r="E16" s="539">
        <f t="shared" si="1"/>
        <v>92408</v>
      </c>
      <c r="F16" s="539">
        <f t="shared" si="1"/>
        <v>92668</v>
      </c>
      <c r="G16" s="539">
        <f t="shared" si="1"/>
        <v>68695</v>
      </c>
      <c r="H16" s="539">
        <f t="shared" si="1"/>
        <v>68692</v>
      </c>
      <c r="I16" s="539">
        <f t="shared" si="1"/>
        <v>412516</v>
      </c>
      <c r="J16" s="538">
        <f t="shared" si="1"/>
        <v>52354</v>
      </c>
      <c r="K16" s="538">
        <f t="shared" si="1"/>
        <v>105480</v>
      </c>
      <c r="L16" s="538">
        <f t="shared" si="1"/>
        <v>105480</v>
      </c>
      <c r="M16" s="538">
        <f t="shared" si="1"/>
        <v>200700</v>
      </c>
      <c r="N16" s="538">
        <f t="shared" si="1"/>
        <v>200700</v>
      </c>
      <c r="O16" s="538">
        <f t="shared" si="1"/>
        <v>270498</v>
      </c>
      <c r="P16" s="477"/>
      <c r="Q16" s="430"/>
    </row>
    <row r="17" spans="2:16" ht="12.75">
      <c r="B17" s="571"/>
      <c r="C17" s="516"/>
      <c r="D17" s="571"/>
      <c r="E17" s="571"/>
      <c r="F17" s="571"/>
      <c r="G17" s="571"/>
      <c r="H17" s="571"/>
      <c r="I17" s="571"/>
      <c r="J17" s="516"/>
      <c r="K17" s="516"/>
      <c r="L17" s="516"/>
      <c r="M17" s="516"/>
      <c r="N17" s="516"/>
      <c r="O17" s="516"/>
      <c r="P17" s="2"/>
    </row>
    <row r="18" spans="2:16" ht="12.75">
      <c r="B18" s="571"/>
      <c r="C18" s="513"/>
      <c r="D18" s="572"/>
      <c r="E18" s="571"/>
      <c r="F18" s="572"/>
      <c r="G18" s="571"/>
      <c r="H18" s="571"/>
      <c r="I18" s="572"/>
      <c r="J18" s="516"/>
      <c r="K18" s="516"/>
      <c r="L18" s="516"/>
      <c r="M18" s="516"/>
      <c r="N18" s="516"/>
      <c r="O18" s="516"/>
      <c r="P18" s="2"/>
    </row>
    <row r="19" spans="2:16" ht="12.75">
      <c r="B19" s="571"/>
      <c r="C19" s="513"/>
      <c r="D19" s="571"/>
      <c r="E19" s="572"/>
      <c r="F19" s="571"/>
      <c r="G19" s="571"/>
      <c r="H19" s="571"/>
      <c r="I19" s="571"/>
      <c r="J19" s="516"/>
      <c r="K19" s="516"/>
      <c r="L19" s="516"/>
      <c r="M19" s="516"/>
      <c r="N19" s="516"/>
      <c r="O19" s="516"/>
      <c r="P19" s="2"/>
    </row>
    <row r="20" spans="2:16" ht="13.5" thickBot="1">
      <c r="B20" s="571"/>
      <c r="C20" s="516"/>
      <c r="D20" s="571"/>
      <c r="E20" s="571"/>
      <c r="F20" s="571"/>
      <c r="G20" s="571"/>
      <c r="H20" s="571"/>
      <c r="I20" s="571"/>
      <c r="J20" s="516"/>
      <c r="K20" s="516"/>
      <c r="L20" s="516"/>
      <c r="M20" s="516"/>
      <c r="N20" s="516"/>
      <c r="O20" s="516"/>
      <c r="P20" s="2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477"/>
    </row>
    <row r="22" spans="2:16" s="429" customFormat="1" ht="12.75">
      <c r="B22" s="542" t="s">
        <v>112</v>
      </c>
      <c r="C22" s="523">
        <f>SUM('ÖNK_Összes kiadás'!C9)</f>
        <v>143620</v>
      </c>
      <c r="D22" s="543">
        <v>8603</v>
      </c>
      <c r="E22" s="525">
        <v>8603</v>
      </c>
      <c r="F22" s="525">
        <v>8603</v>
      </c>
      <c r="G22" s="525">
        <v>17535</v>
      </c>
      <c r="H22" s="525">
        <v>17536</v>
      </c>
      <c r="I22" s="525">
        <v>17535</v>
      </c>
      <c r="J22" s="565">
        <v>2385</v>
      </c>
      <c r="K22" s="565">
        <v>12564</v>
      </c>
      <c r="L22" s="565">
        <v>12564</v>
      </c>
      <c r="M22" s="565">
        <v>12564</v>
      </c>
      <c r="N22" s="565">
        <v>12564</v>
      </c>
      <c r="O22" s="566">
        <f aca="true" t="shared" si="2" ref="O22:O33">+C22-D22-E22-F22-G22-H22-I22-J22-K22-L22-M22-N22</f>
        <v>12564</v>
      </c>
      <c r="P22" s="477"/>
    </row>
    <row r="23" spans="2:16" s="429" customFormat="1" ht="12.75">
      <c r="B23" s="544" t="s">
        <v>113</v>
      </c>
      <c r="C23" s="512">
        <f>SUM('ÖNK_Összes kiadás'!C10)</f>
        <v>24703</v>
      </c>
      <c r="D23" s="545">
        <v>1545</v>
      </c>
      <c r="E23" s="529">
        <v>1545</v>
      </c>
      <c r="F23" s="529">
        <v>1545</v>
      </c>
      <c r="G23" s="529">
        <v>3242</v>
      </c>
      <c r="H23" s="529">
        <v>3243</v>
      </c>
      <c r="I23" s="529">
        <v>3242</v>
      </c>
      <c r="J23" s="567">
        <v>-1013</v>
      </c>
      <c r="K23" s="567">
        <v>2360</v>
      </c>
      <c r="L23" s="567">
        <v>2361</v>
      </c>
      <c r="M23" s="567">
        <v>2361</v>
      </c>
      <c r="N23" s="567">
        <v>2361</v>
      </c>
      <c r="O23" s="568">
        <f t="shared" si="2"/>
        <v>1911</v>
      </c>
      <c r="P23" s="477"/>
    </row>
    <row r="24" spans="2:16" s="429" customFormat="1" ht="12.75">
      <c r="B24" s="544" t="s">
        <v>114</v>
      </c>
      <c r="C24" s="512">
        <f>SUM('ÖNK_Összes kiadás'!C11)</f>
        <v>146173</v>
      </c>
      <c r="D24" s="545">
        <v>13876</v>
      </c>
      <c r="E24" s="529">
        <v>13876</v>
      </c>
      <c r="F24" s="529">
        <v>13876</v>
      </c>
      <c r="G24" s="529">
        <v>14607</v>
      </c>
      <c r="H24" s="529">
        <v>14608</v>
      </c>
      <c r="I24" s="529">
        <v>14607</v>
      </c>
      <c r="J24" s="567">
        <v>14844</v>
      </c>
      <c r="K24" s="567">
        <v>9008</v>
      </c>
      <c r="L24" s="567">
        <v>9008</v>
      </c>
      <c r="M24" s="567">
        <v>9009</v>
      </c>
      <c r="N24" s="567">
        <v>9008</v>
      </c>
      <c r="O24" s="568">
        <f t="shared" si="2"/>
        <v>9846</v>
      </c>
      <c r="P24" s="477"/>
    </row>
    <row r="25" spans="2:16" s="429" customFormat="1" ht="12.75">
      <c r="B25" s="546" t="s">
        <v>115</v>
      </c>
      <c r="C25" s="512">
        <f>SUM('ÖNK_Összes kiadás'!C12)</f>
        <v>156888</v>
      </c>
      <c r="D25" s="545">
        <v>9367</v>
      </c>
      <c r="E25" s="529">
        <v>9367</v>
      </c>
      <c r="F25" s="529">
        <v>9367</v>
      </c>
      <c r="G25" s="529">
        <v>7990</v>
      </c>
      <c r="H25" s="529">
        <v>7990</v>
      </c>
      <c r="I25" s="529">
        <v>7990</v>
      </c>
      <c r="J25" s="529">
        <v>19362</v>
      </c>
      <c r="K25" s="529">
        <v>13237</v>
      </c>
      <c r="L25" s="529">
        <v>13236</v>
      </c>
      <c r="M25" s="529">
        <v>14741</v>
      </c>
      <c r="N25" s="529">
        <v>14740</v>
      </c>
      <c r="O25" s="568">
        <f t="shared" si="2"/>
        <v>29501</v>
      </c>
      <c r="P25" s="477"/>
    </row>
    <row r="26" spans="2:16" s="429" customFormat="1" ht="12.75">
      <c r="B26" s="544" t="s">
        <v>119</v>
      </c>
      <c r="C26" s="512">
        <f>SUM('ÖNK_Összes kiadás'!C19)</f>
        <v>327087</v>
      </c>
      <c r="D26" s="545">
        <v>2255</v>
      </c>
      <c r="E26" s="529">
        <v>2255</v>
      </c>
      <c r="F26" s="529">
        <v>2255</v>
      </c>
      <c r="G26" s="529">
        <v>2888</v>
      </c>
      <c r="H26" s="529">
        <v>2887</v>
      </c>
      <c r="I26" s="529">
        <v>2888</v>
      </c>
      <c r="J26" s="529">
        <f>5209-2327-1</f>
        <v>2881</v>
      </c>
      <c r="K26" s="529">
        <v>12185</v>
      </c>
      <c r="L26" s="529">
        <v>12185</v>
      </c>
      <c r="M26" s="529">
        <v>12185</v>
      </c>
      <c r="N26" s="529">
        <v>133739</v>
      </c>
      <c r="O26" s="568">
        <f t="shared" si="2"/>
        <v>138484</v>
      </c>
      <c r="P26" s="477"/>
    </row>
    <row r="27" spans="2:16" s="429" customFormat="1" ht="12.75">
      <c r="B27" s="544" t="s">
        <v>120</v>
      </c>
      <c r="C27" s="512">
        <f>SUM('ÖNK_Összes kiadás'!C20)</f>
        <v>70797</v>
      </c>
      <c r="D27" s="545">
        <v>1889</v>
      </c>
      <c r="E27" s="529">
        <v>1889</v>
      </c>
      <c r="F27" s="529">
        <v>1889</v>
      </c>
      <c r="G27" s="529">
        <v>1760</v>
      </c>
      <c r="H27" s="529">
        <v>1760</v>
      </c>
      <c r="I27" s="529">
        <v>1760</v>
      </c>
      <c r="J27" s="567">
        <v>0</v>
      </c>
      <c r="K27" s="567">
        <v>11000</v>
      </c>
      <c r="L27" s="567">
        <v>0</v>
      </c>
      <c r="M27" s="567">
        <v>0</v>
      </c>
      <c r="N27" s="567">
        <v>0</v>
      </c>
      <c r="O27" s="568">
        <f t="shared" si="2"/>
        <v>48850</v>
      </c>
      <c r="P27" s="477"/>
    </row>
    <row r="28" spans="2:16" s="429" customFormat="1" ht="12.75">
      <c r="B28" s="544" t="s">
        <v>121</v>
      </c>
      <c r="C28" s="512">
        <f>SUM('ÖNK_Összes kiadás'!C21)</f>
        <v>25519</v>
      </c>
      <c r="D28" s="545">
        <v>489</v>
      </c>
      <c r="E28" s="529">
        <v>489</v>
      </c>
      <c r="F28" s="529">
        <v>489</v>
      </c>
      <c r="G28" s="529">
        <v>397</v>
      </c>
      <c r="H28" s="529">
        <v>397</v>
      </c>
      <c r="I28" s="529">
        <v>397</v>
      </c>
      <c r="J28" s="529">
        <v>0</v>
      </c>
      <c r="K28" s="529">
        <v>3493</v>
      </c>
      <c r="L28" s="529">
        <v>3493</v>
      </c>
      <c r="M28" s="529">
        <v>3020</v>
      </c>
      <c r="N28" s="529">
        <v>3020</v>
      </c>
      <c r="O28" s="568">
        <f t="shared" si="2"/>
        <v>9835</v>
      </c>
      <c r="P28" s="477"/>
    </row>
    <row r="29" spans="2:15" s="429" customFormat="1" ht="12.75">
      <c r="B29" s="544" t="s">
        <v>279</v>
      </c>
      <c r="C29" s="512">
        <f>SUM('ÖNK_Összes kiadás'!C25)</f>
        <v>231129</v>
      </c>
      <c r="D29" s="545">
        <v>0</v>
      </c>
      <c r="E29" s="529">
        <v>0</v>
      </c>
      <c r="F29" s="529">
        <v>6364</v>
      </c>
      <c r="G29" s="529">
        <v>0</v>
      </c>
      <c r="H29" s="529">
        <v>0</v>
      </c>
      <c r="I29" s="529">
        <v>213176</v>
      </c>
      <c r="J29" s="529">
        <v>1259</v>
      </c>
      <c r="K29" s="529">
        <v>0</v>
      </c>
      <c r="L29" s="529">
        <v>5165</v>
      </c>
      <c r="M29" s="529">
        <v>0</v>
      </c>
      <c r="N29" s="529"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SUM('ÖNK_Összes kiadás'!C26)</f>
        <v>0</v>
      </c>
      <c r="D30" s="545">
        <v>0</v>
      </c>
      <c r="E30" s="529">
        <v>0</v>
      </c>
      <c r="F30" s="529">
        <v>0</v>
      </c>
      <c r="G30" s="529">
        <v>0</v>
      </c>
      <c r="H30" s="529">
        <v>0</v>
      </c>
      <c r="I30" s="529">
        <v>0</v>
      </c>
      <c r="J30" s="529">
        <v>0</v>
      </c>
      <c r="K30" s="529">
        <v>0</v>
      </c>
      <c r="L30" s="529">
        <v>0</v>
      </c>
      <c r="M30" s="529">
        <v>0</v>
      </c>
      <c r="N30" s="529"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SUM('ÖNK_Összes kiadás'!C27)</f>
        <v>0</v>
      </c>
      <c r="D31" s="545">
        <v>0</v>
      </c>
      <c r="E31" s="529">
        <v>0</v>
      </c>
      <c r="F31" s="529">
        <v>-15365</v>
      </c>
      <c r="G31" s="529">
        <v>0</v>
      </c>
      <c r="H31" s="529">
        <v>0</v>
      </c>
      <c r="I31" s="529">
        <v>-10175</v>
      </c>
      <c r="J31" s="529">
        <v>16824</v>
      </c>
      <c r="K31" s="529">
        <v>0</v>
      </c>
      <c r="L31" s="529">
        <v>0</v>
      </c>
      <c r="M31" s="529">
        <v>2905</v>
      </c>
      <c r="N31" s="529">
        <v>2906</v>
      </c>
      <c r="O31" s="530">
        <f t="shared" si="2"/>
        <v>2905</v>
      </c>
    </row>
    <row r="32" spans="2:15" s="429" customFormat="1" ht="12.75">
      <c r="B32" s="544" t="s">
        <v>742</v>
      </c>
      <c r="C32" s="512">
        <f>SUM('ÖNK_Összes kiadás'!C28)</f>
        <v>37418</v>
      </c>
      <c r="D32" s="545">
        <f>92408-74309</f>
        <v>18099</v>
      </c>
      <c r="E32" s="528">
        <f>92408-74361</f>
        <v>18047</v>
      </c>
      <c r="F32" s="528">
        <f>37418-18099-18047</f>
        <v>1272</v>
      </c>
      <c r="G32" s="528">
        <v>0</v>
      </c>
      <c r="H32" s="528">
        <v>0</v>
      </c>
      <c r="I32" s="528">
        <v>37418</v>
      </c>
      <c r="J32" s="528">
        <v>0</v>
      </c>
      <c r="K32" s="528">
        <v>0</v>
      </c>
      <c r="L32" s="528">
        <v>0</v>
      </c>
      <c r="M32" s="528">
        <v>0</v>
      </c>
      <c r="N32" s="528">
        <v>0</v>
      </c>
      <c r="O32" s="530">
        <f t="shared" si="2"/>
        <v>-37418</v>
      </c>
    </row>
    <row r="33" spans="2:17" s="478" customFormat="1" ht="13.5" thickBot="1">
      <c r="B33" s="573" t="s">
        <v>282</v>
      </c>
      <c r="C33" s="533">
        <f>SUM('ÖNK_Összes kiadás'!C30)</f>
        <v>599265</v>
      </c>
      <c r="D33" s="574">
        <f>SUM('PH_Ei.felhaszn.'!D15+'GAM_Ei.felhaszn.'!D15+'ILMK_Ei.felhaszn.'!D15+'OVI_Ei.felhaszn.'!D15)</f>
        <v>35098</v>
      </c>
      <c r="E33" s="574">
        <f>SUM('PH_Ei.felhaszn.'!E15+'GAM_Ei.felhaszn.'!E15+'ILMK_Ei.felhaszn.'!E15+'OVI_Ei.felhaszn.'!E15)</f>
        <v>35149</v>
      </c>
      <c r="F33" s="574">
        <v>35098</v>
      </c>
      <c r="G33" s="574">
        <f>SUM('PH_Ei.felhaszn.'!G15+'GAM_Ei.felhaszn.'!G15+'ILMK_Ei.felhaszn.'!G15+'OVI_Ei.felhaszn.'!G15)</f>
        <v>35840</v>
      </c>
      <c r="H33" s="574">
        <f>SUM('PH_Ei.felhaszn.'!H15+'GAM_Ei.felhaszn.'!H15+'ILMK_Ei.felhaszn.'!H15+'OVI_Ei.felhaszn.'!H15)</f>
        <v>34974</v>
      </c>
      <c r="I33" s="574">
        <v>23900</v>
      </c>
      <c r="J33" s="574">
        <v>33457</v>
      </c>
      <c r="K33" s="574">
        <f>SUM('PH_Ei.felhaszn.'!K15+'GAM_Ei.felhaszn.'!K15+'ILMK_Ei.felhaszn.'!K15+'OVI_Ei.felhaszn.'!K15)</f>
        <v>72570</v>
      </c>
      <c r="L33" s="574">
        <v>72718</v>
      </c>
      <c r="M33" s="574">
        <v>70721</v>
      </c>
      <c r="N33" s="574">
        <v>70825</v>
      </c>
      <c r="O33" s="535">
        <f t="shared" si="2"/>
        <v>78915</v>
      </c>
      <c r="Q33" s="429"/>
    </row>
    <row r="34" spans="2:17" s="429" customFormat="1" ht="13.5" thickBot="1">
      <c r="B34" s="537" t="s">
        <v>148</v>
      </c>
      <c r="C34" s="538">
        <f aca="true" t="shared" si="3" ref="C34:N34">SUM(C22:C33)</f>
        <v>1762599</v>
      </c>
      <c r="D34" s="539">
        <f t="shared" si="3"/>
        <v>91221</v>
      </c>
      <c r="E34" s="539">
        <f t="shared" si="3"/>
        <v>91220</v>
      </c>
      <c r="F34" s="539">
        <f t="shared" si="3"/>
        <v>65393</v>
      </c>
      <c r="G34" s="539">
        <f t="shared" si="3"/>
        <v>84259</v>
      </c>
      <c r="H34" s="539">
        <f t="shared" si="3"/>
        <v>83395</v>
      </c>
      <c r="I34" s="539">
        <f t="shared" si="3"/>
        <v>312738</v>
      </c>
      <c r="J34" s="539">
        <f t="shared" si="3"/>
        <v>89999</v>
      </c>
      <c r="K34" s="539">
        <f t="shared" si="3"/>
        <v>136417</v>
      </c>
      <c r="L34" s="539">
        <f t="shared" si="3"/>
        <v>130730</v>
      </c>
      <c r="M34" s="539">
        <f t="shared" si="3"/>
        <v>127506</v>
      </c>
      <c r="N34" s="539">
        <f t="shared" si="3"/>
        <v>249163</v>
      </c>
      <c r="O34" s="539">
        <f>SUM(O22:O33)</f>
        <v>300558</v>
      </c>
      <c r="Q34" s="728"/>
    </row>
    <row r="35" spans="2:15" ht="12.75">
      <c r="B35" s="571"/>
      <c r="C35" s="516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</row>
    <row r="36" spans="3:9" ht="12.75">
      <c r="C36" s="27"/>
      <c r="F36" s="63"/>
      <c r="I36" s="63"/>
    </row>
    <row r="37" ht="12.75">
      <c r="F37" s="63"/>
    </row>
    <row r="52" ht="12.75">
      <c r="F5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9"/>
  <sheetViews>
    <sheetView zoomScalePageLayoutView="0" workbookViewId="0" topLeftCell="D1">
      <selection activeCell="R17" sqref="R17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587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395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v>57226</v>
      </c>
      <c r="E8" s="550">
        <f aca="true" t="shared" si="0" ref="E8:O8">SUM(D29)</f>
        <v>56713</v>
      </c>
      <c r="F8" s="550">
        <f t="shared" si="0"/>
        <v>56250</v>
      </c>
      <c r="G8" s="550">
        <f t="shared" si="0"/>
        <v>81825</v>
      </c>
      <c r="H8" s="550">
        <f t="shared" si="0"/>
        <v>67708</v>
      </c>
      <c r="I8" s="550">
        <f t="shared" si="0"/>
        <v>53584</v>
      </c>
      <c r="J8" s="550">
        <f t="shared" si="0"/>
        <v>107451</v>
      </c>
      <c r="K8" s="550">
        <f t="shared" si="0"/>
        <v>60144</v>
      </c>
      <c r="L8" s="550">
        <f t="shared" si="0"/>
        <v>55430</v>
      </c>
      <c r="M8" s="550">
        <f t="shared" si="0"/>
        <v>80468</v>
      </c>
      <c r="N8" s="550">
        <f t="shared" si="0"/>
        <v>40515</v>
      </c>
      <c r="O8" s="575">
        <f t="shared" si="0"/>
        <v>96775</v>
      </c>
      <c r="P8" s="553"/>
    </row>
    <row r="9" spans="2:17" s="429" customFormat="1" ht="12.75">
      <c r="B9" s="522" t="s">
        <v>81</v>
      </c>
      <c r="C9" s="554"/>
      <c r="D9" s="524">
        <f>SUM('ÖNK_Ei.felhaszn.'!D8)</f>
        <v>11426</v>
      </c>
      <c r="E9" s="524">
        <f>SUM('ÖNK_Ei.felhaszn.'!E8)</f>
        <v>11427</v>
      </c>
      <c r="F9" s="524">
        <f>SUM('ÖNK_Ei.felhaszn.'!F8)</f>
        <v>11426</v>
      </c>
      <c r="G9" s="524">
        <f>SUM('ÖNK_Ei.felhaszn.'!G8)</f>
        <v>6429</v>
      </c>
      <c r="H9" s="524">
        <f>SUM('ÖNK_Ei.felhaszn.'!H8)</f>
        <v>6428</v>
      </c>
      <c r="I9" s="524">
        <f>SUM('ÖNK_Ei.felhaszn.'!I8)</f>
        <v>6429</v>
      </c>
      <c r="J9" s="524">
        <f>SUM('ÖNK_Ei.felhaszn.'!J8)</f>
        <v>5234</v>
      </c>
      <c r="K9" s="524">
        <v>3290</v>
      </c>
      <c r="L9" s="524">
        <v>32109</v>
      </c>
      <c r="M9" s="524">
        <v>6803</v>
      </c>
      <c r="N9" s="524">
        <v>12939</v>
      </c>
      <c r="O9" s="526">
        <f aca="true" t="shared" si="1" ref="O9:O15">+P9-D9-E9-F9-G9-H9-I9-J9-K9-L9-M9-N9</f>
        <v>2761</v>
      </c>
      <c r="P9" s="523">
        <f>SUM('ÖNK_Ei.felhaszn.'!C8)</f>
        <v>116701</v>
      </c>
      <c r="Q9" s="430"/>
    </row>
    <row r="10" spans="2:17" s="429" customFormat="1" ht="12.75">
      <c r="B10" s="527" t="s">
        <v>89</v>
      </c>
      <c r="C10" s="555"/>
      <c r="D10" s="528">
        <f>SUM('ÖNK_Ei.felhaszn.'!D9)</f>
        <v>51713</v>
      </c>
      <c r="E10" s="528">
        <f>SUM('ÖNK_Ei.felhaszn.'!E9)</f>
        <v>51712</v>
      </c>
      <c r="F10" s="528">
        <f>SUM('ÖNK_Ei.felhaszn.'!F9)</f>
        <v>51713</v>
      </c>
      <c r="G10" s="528">
        <f>SUM('ÖNK_Ei.felhaszn.'!G9)</f>
        <v>51629</v>
      </c>
      <c r="H10" s="528">
        <f>SUM('ÖNK_Ei.felhaszn.'!H9)</f>
        <v>51630</v>
      </c>
      <c r="I10" s="528">
        <f>SUM('ÖNK_Ei.felhaszn.'!I9)</f>
        <v>322584</v>
      </c>
      <c r="J10" s="528">
        <f>SUM('ÖNK_Ei.felhaszn.'!J9)</f>
        <v>47757</v>
      </c>
      <c r="K10" s="528">
        <v>48280</v>
      </c>
      <c r="L10" s="528">
        <v>46781</v>
      </c>
      <c r="M10" s="528">
        <v>41269</v>
      </c>
      <c r="N10" s="528">
        <v>51034</v>
      </c>
      <c r="O10" s="530">
        <v>180646</v>
      </c>
      <c r="P10" s="512">
        <v>996748</v>
      </c>
      <c r="Q10" s="430"/>
    </row>
    <row r="11" spans="2:17" s="429" customFormat="1" ht="12.75">
      <c r="B11" s="527" t="s">
        <v>90</v>
      </c>
      <c r="C11" s="555"/>
      <c r="D11" s="528">
        <f>SUM('ÖNK_Ei.felhaszn.'!D10)</f>
        <v>640</v>
      </c>
      <c r="E11" s="528">
        <f>SUM('ÖNK_Ei.felhaszn.'!E10)</f>
        <v>641</v>
      </c>
      <c r="F11" s="528">
        <f>SUM('ÖNK_Ei.felhaszn.'!F10)</f>
        <v>640</v>
      </c>
      <c r="G11" s="528">
        <f>SUM('ÖNK_Ei.felhaszn.'!G10)</f>
        <v>757</v>
      </c>
      <c r="H11" s="528">
        <f>SUM('ÖNK_Ei.felhaszn.'!H10)</f>
        <v>756</v>
      </c>
      <c r="I11" s="528">
        <f>SUM('ÖNK_Ei.felhaszn.'!I10)</f>
        <v>757</v>
      </c>
      <c r="J11" s="528">
        <f>SUM('ÖNK_Ei.felhaszn.'!J10)</f>
        <v>0</v>
      </c>
      <c r="K11" s="528">
        <v>0</v>
      </c>
      <c r="L11" s="528">
        <v>577</v>
      </c>
      <c r="M11" s="528">
        <v>1</v>
      </c>
      <c r="N11" s="528">
        <v>0</v>
      </c>
      <c r="O11" s="530">
        <f t="shared" si="1"/>
        <v>12756</v>
      </c>
      <c r="P11" s="512">
        <f>SUM('ÖNK_Ei.felhaszn.'!C10)</f>
        <v>17525</v>
      </c>
      <c r="Q11" s="430"/>
    </row>
    <row r="12" spans="2:17" s="429" customFormat="1" ht="12.75">
      <c r="B12" s="527" t="s">
        <v>92</v>
      </c>
      <c r="C12" s="555"/>
      <c r="D12" s="528">
        <f>SUM('ÖNK_Ei.felhaszn.'!D11)</f>
        <v>20471</v>
      </c>
      <c r="E12" s="528">
        <f>SUM('ÖNK_Ei.felhaszn.'!E11)</f>
        <v>20470</v>
      </c>
      <c r="F12" s="528">
        <f>SUM('ÖNK_Ei.felhaszn.'!F11)</f>
        <v>20471</v>
      </c>
      <c r="G12" s="528">
        <f>SUM('ÖNK_Ei.felhaszn.'!G11)</f>
        <v>5699</v>
      </c>
      <c r="H12" s="528">
        <f>SUM('ÖNK_Ei.felhaszn.'!H11)</f>
        <v>5698</v>
      </c>
      <c r="I12" s="528">
        <f>SUM('ÖNK_Ei.felhaszn.'!I11)</f>
        <v>5699</v>
      </c>
      <c r="J12" s="528">
        <f>SUM('ÖNK_Ei.felhaszn.'!J11)</f>
        <v>10839</v>
      </c>
      <c r="K12" s="528">
        <v>22463</v>
      </c>
      <c r="L12" s="528">
        <v>15035</v>
      </c>
      <c r="M12" s="528">
        <v>13946</v>
      </c>
      <c r="N12" s="528">
        <v>19658</v>
      </c>
      <c r="O12" s="530">
        <v>18582</v>
      </c>
      <c r="P12" s="512">
        <v>179031</v>
      </c>
      <c r="Q12" s="430"/>
    </row>
    <row r="13" spans="2:17" s="429" customFormat="1" ht="12.75">
      <c r="B13" s="527" t="s">
        <v>95</v>
      </c>
      <c r="C13" s="555"/>
      <c r="D13" s="528">
        <f>SUM('ÖNK_Ei.felhaszn.'!D12)</f>
        <v>8158</v>
      </c>
      <c r="E13" s="528">
        <f>SUM('ÖNK_Ei.felhaszn.'!E12)</f>
        <v>8158</v>
      </c>
      <c r="F13" s="528">
        <f>SUM('ÖNK_Ei.felhaszn.'!F12)</f>
        <v>8158</v>
      </c>
      <c r="G13" s="528">
        <f>SUM('ÖNK_Ei.felhaszn.'!G12)</f>
        <v>4181</v>
      </c>
      <c r="H13" s="528">
        <f>SUM('ÖNK_Ei.felhaszn.'!H12)</f>
        <v>4180</v>
      </c>
      <c r="I13" s="528">
        <f>SUM('ÖNK_Ei.felhaszn.'!I12)</f>
        <v>4181</v>
      </c>
      <c r="J13" s="528">
        <f>SUM('ÖNK_Ei.felhaszn.'!J12)</f>
        <v>-1</v>
      </c>
      <c r="K13" s="528">
        <v>25</v>
      </c>
      <c r="L13" s="528">
        <v>1789</v>
      </c>
      <c r="M13" s="528">
        <v>18872</v>
      </c>
      <c r="N13" s="528">
        <v>38123</v>
      </c>
      <c r="O13" s="530">
        <f t="shared" si="1"/>
        <v>290516</v>
      </c>
      <c r="P13" s="512">
        <f>SUM('ÖNK_Ei.felhaszn.'!C12)</f>
        <v>386340</v>
      </c>
      <c r="Q13" s="430"/>
    </row>
    <row r="14" spans="2:17" s="429" customFormat="1" ht="12.75">
      <c r="B14" s="527" t="s">
        <v>226</v>
      </c>
      <c r="C14" s="555"/>
      <c r="D14" s="528">
        <v>0</v>
      </c>
      <c r="E14" s="529">
        <f>SUM('ÖNK_Ei.felhaszn.'!E14)</f>
        <v>0</v>
      </c>
      <c r="F14" s="529">
        <f>SUM('ÖNK_Ei.felhaszn.'!F14)</f>
        <v>0</v>
      </c>
      <c r="G14" s="529">
        <f>SUM('ÖNK_Ei.felhaszn.'!G14)</f>
        <v>0</v>
      </c>
      <c r="H14" s="529">
        <f>SUM('ÖNK_Ei.felhaszn.'!H14)</f>
        <v>0</v>
      </c>
      <c r="I14" s="529">
        <f>SUM('ÖNK_Ei.felhaszn.'!I14)</f>
        <v>37418</v>
      </c>
      <c r="J14" s="529">
        <f>SUM('ÖNK_Ei.felhaszn.'!J14)</f>
        <v>0</v>
      </c>
      <c r="K14" s="529">
        <v>0</v>
      </c>
      <c r="L14" s="529">
        <v>0</v>
      </c>
      <c r="M14" s="529">
        <v>0</v>
      </c>
      <c r="N14" s="529">
        <v>100</v>
      </c>
      <c r="O14" s="530">
        <v>31946</v>
      </c>
      <c r="P14" s="512">
        <v>69464</v>
      </c>
      <c r="Q14" s="430"/>
    </row>
    <row r="15" spans="2:17" s="429" customFormat="1" ht="13.5" thickBot="1">
      <c r="B15" s="527" t="s">
        <v>277</v>
      </c>
      <c r="C15" s="555"/>
      <c r="D15" s="528">
        <f>SUM('ÖNK_Ei.felhaszn.'!D15)</f>
        <v>0</v>
      </c>
      <c r="E15" s="528">
        <f>SUM('ÖNK_Ei.felhaszn.'!E15)</f>
        <v>0</v>
      </c>
      <c r="F15" s="528">
        <f>SUM('ÖNK_Ei.felhaszn.'!F15)</f>
        <v>260</v>
      </c>
      <c r="G15" s="528">
        <f>SUM('ÖNK_Ei.felhaszn.'!G15)</f>
        <v>0</v>
      </c>
      <c r="H15" s="528">
        <f>SUM('ÖNK_Ei.felhaszn.'!H15)</f>
        <v>0</v>
      </c>
      <c r="I15" s="528">
        <f>SUM('ÖNK_Ei.felhaszn.'!I15)</f>
        <v>30</v>
      </c>
      <c r="J15" s="528">
        <f>SUM('ÖNK_Ei.felhaszn.'!J15)</f>
        <v>-11475</v>
      </c>
      <c r="K15" s="528">
        <v>1407</v>
      </c>
      <c r="L15" s="528">
        <v>12298</v>
      </c>
      <c r="M15" s="528">
        <v>-15922</v>
      </c>
      <c r="N15" s="528">
        <v>250</v>
      </c>
      <c r="O15" s="528">
        <f t="shared" si="1"/>
        <v>13152</v>
      </c>
      <c r="P15" s="512">
        <v>0</v>
      </c>
      <c r="Q15" s="430"/>
    </row>
    <row r="16" spans="2:17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92408</v>
      </c>
      <c r="E16" s="539">
        <f t="shared" si="2"/>
        <v>92408</v>
      </c>
      <c r="F16" s="539">
        <f t="shared" si="2"/>
        <v>92668</v>
      </c>
      <c r="G16" s="539">
        <f t="shared" si="2"/>
        <v>68695</v>
      </c>
      <c r="H16" s="539">
        <f t="shared" si="2"/>
        <v>68692</v>
      </c>
      <c r="I16" s="539">
        <f t="shared" si="2"/>
        <v>377098</v>
      </c>
      <c r="J16" s="539">
        <f t="shared" si="2"/>
        <v>52354</v>
      </c>
      <c r="K16" s="539">
        <f t="shared" si="2"/>
        <v>75465</v>
      </c>
      <c r="L16" s="539">
        <f t="shared" si="2"/>
        <v>108589</v>
      </c>
      <c r="M16" s="539">
        <f t="shared" si="2"/>
        <v>64969</v>
      </c>
      <c r="N16" s="539">
        <f t="shared" si="2"/>
        <v>122104</v>
      </c>
      <c r="O16" s="539">
        <f t="shared" si="2"/>
        <v>550359</v>
      </c>
      <c r="P16" s="538">
        <f t="shared" si="2"/>
        <v>1765809</v>
      </c>
      <c r="Q16" s="430"/>
    </row>
    <row r="17" spans="2:17" s="429" customFormat="1" ht="12.75">
      <c r="B17" s="542" t="s">
        <v>112</v>
      </c>
      <c r="C17" s="554"/>
      <c r="D17" s="543">
        <f>SUM('ÖNK_Ei.felhaszn.'!D22)</f>
        <v>8603</v>
      </c>
      <c r="E17" s="525">
        <f>SUM('ÖNK_Ei.felhaszn.'!E22)</f>
        <v>8603</v>
      </c>
      <c r="F17" s="525">
        <f>SUM('ÖNK_Ei.felhaszn.'!F22)</f>
        <v>8603</v>
      </c>
      <c r="G17" s="525">
        <f>SUM('ÖNK_Ei.felhaszn.'!G22)</f>
        <v>17535</v>
      </c>
      <c r="H17" s="525">
        <f>SUM('ÖNK_Ei.felhaszn.'!H22)</f>
        <v>17536</v>
      </c>
      <c r="I17" s="525">
        <f>SUM('ÖNK_Ei.felhaszn.'!I22)</f>
        <v>17535</v>
      </c>
      <c r="J17" s="525">
        <v>15030</v>
      </c>
      <c r="K17" s="525">
        <v>15030</v>
      </c>
      <c r="L17" s="525">
        <v>15030</v>
      </c>
      <c r="M17" s="525">
        <v>14185</v>
      </c>
      <c r="N17" s="525">
        <v>14008</v>
      </c>
      <c r="O17" s="526">
        <v>14008</v>
      </c>
      <c r="P17" s="523">
        <v>165706</v>
      </c>
      <c r="Q17" s="430"/>
    </row>
    <row r="18" spans="2:17" s="429" customFormat="1" ht="12.75">
      <c r="B18" s="544" t="s">
        <v>113</v>
      </c>
      <c r="C18" s="555"/>
      <c r="D18" s="545">
        <f>SUM('ÖNK_Ei.felhaszn.'!D23)</f>
        <v>1545</v>
      </c>
      <c r="E18" s="529">
        <f>SUM('ÖNK_Ei.felhaszn.'!E23)</f>
        <v>1545</v>
      </c>
      <c r="F18" s="529">
        <f>SUM('ÖNK_Ei.felhaszn.'!F23)</f>
        <v>1545</v>
      </c>
      <c r="G18" s="529">
        <f>SUM('ÖNK_Ei.felhaszn.'!G23)</f>
        <v>3242</v>
      </c>
      <c r="H18" s="529">
        <f>SUM('ÖNK_Ei.felhaszn.'!H23)</f>
        <v>3243</v>
      </c>
      <c r="I18" s="529">
        <f>SUM('ÖNK_Ei.felhaszn.'!I23)</f>
        <v>3242</v>
      </c>
      <c r="J18" s="529">
        <v>2408</v>
      </c>
      <c r="K18" s="529">
        <v>2407</v>
      </c>
      <c r="L18" s="529">
        <v>2408</v>
      </c>
      <c r="M18" s="529">
        <v>2321</v>
      </c>
      <c r="N18" s="529">
        <v>2322</v>
      </c>
      <c r="O18" s="530">
        <v>2322</v>
      </c>
      <c r="P18" s="512">
        <v>28550</v>
      </c>
      <c r="Q18" s="430"/>
    </row>
    <row r="19" spans="2:17" s="429" customFormat="1" ht="12.75">
      <c r="B19" s="544" t="s">
        <v>114</v>
      </c>
      <c r="C19" s="555"/>
      <c r="D19" s="545">
        <f>SUM('ÖNK_Ei.felhaszn.'!D24)</f>
        <v>13876</v>
      </c>
      <c r="E19" s="529">
        <f>SUM('ÖNK_Ei.felhaszn.'!E24)</f>
        <v>13876</v>
      </c>
      <c r="F19" s="529">
        <f>SUM('ÖNK_Ei.felhaszn.'!F24)</f>
        <v>13876</v>
      </c>
      <c r="G19" s="529">
        <f>SUM('ÖNK_Ei.felhaszn.'!G24)</f>
        <v>14607</v>
      </c>
      <c r="H19" s="529">
        <f>SUM('ÖNK_Ei.felhaszn.'!H24)</f>
        <v>14608</v>
      </c>
      <c r="I19" s="529">
        <f>SUM('ÖNK_Ei.felhaszn.'!I24)</f>
        <v>14607</v>
      </c>
      <c r="J19" s="529">
        <v>14844</v>
      </c>
      <c r="K19" s="529">
        <v>8869</v>
      </c>
      <c r="L19" s="529">
        <v>4031</v>
      </c>
      <c r="M19" s="529">
        <v>18138</v>
      </c>
      <c r="N19" s="529">
        <v>5790</v>
      </c>
      <c r="O19" s="530">
        <f aca="true" t="shared" si="3" ref="O19:O26">+P19-D19-E19-F19-G19-H19-I19-J19-K19-L19-M19-N19</f>
        <v>9051</v>
      </c>
      <c r="P19" s="512">
        <f>SUM('ÖNK_Ei.felhaszn.'!C24)</f>
        <v>146173</v>
      </c>
      <c r="Q19" s="430"/>
    </row>
    <row r="20" spans="2:17" s="429" customFormat="1" ht="12.75">
      <c r="B20" s="546" t="s">
        <v>115</v>
      </c>
      <c r="C20" s="555"/>
      <c r="D20" s="545">
        <f>SUM('ÖNK_Ei.felhaszn.'!D25)</f>
        <v>9367</v>
      </c>
      <c r="E20" s="529">
        <f>SUM('ÖNK_Ei.felhaszn.'!E25)</f>
        <v>9367</v>
      </c>
      <c r="F20" s="529">
        <f>SUM('ÖNK_Ei.felhaszn.'!F25)</f>
        <v>9367</v>
      </c>
      <c r="G20" s="529">
        <f>SUM('ÖNK_Ei.felhaszn.'!G25)</f>
        <v>7990</v>
      </c>
      <c r="H20" s="529">
        <f>SUM('ÖNK_Ei.felhaszn.'!H25)</f>
        <v>7990</v>
      </c>
      <c r="I20" s="529">
        <f>SUM('ÖNK_Ei.felhaszn.'!I25)</f>
        <v>7990</v>
      </c>
      <c r="J20" s="529">
        <v>19362</v>
      </c>
      <c r="K20" s="529">
        <v>10041</v>
      </c>
      <c r="L20" s="529">
        <v>44090</v>
      </c>
      <c r="M20" s="529">
        <v>2061</v>
      </c>
      <c r="N20" s="529">
        <v>8916</v>
      </c>
      <c r="O20" s="530">
        <f t="shared" si="3"/>
        <v>20347</v>
      </c>
      <c r="P20" s="512">
        <f>SUM('ÖNK_Ei.felhaszn.'!C25)</f>
        <v>156888</v>
      </c>
      <c r="Q20" s="430"/>
    </row>
    <row r="21" spans="2:17" s="429" customFormat="1" ht="12.75">
      <c r="B21" s="544" t="s">
        <v>119</v>
      </c>
      <c r="C21" s="555"/>
      <c r="D21" s="545">
        <f>SUM('ÖNK_Ei.felhaszn.'!D26)</f>
        <v>2255</v>
      </c>
      <c r="E21" s="529">
        <f>SUM('ÖNK_Ei.felhaszn.'!E26)</f>
        <v>2255</v>
      </c>
      <c r="F21" s="529">
        <f>SUM('ÖNK_Ei.felhaszn.'!F26)</f>
        <v>2255</v>
      </c>
      <c r="G21" s="529">
        <f>SUM('ÖNK_Ei.felhaszn.'!G26)</f>
        <v>2888</v>
      </c>
      <c r="H21" s="529">
        <f>SUM('ÖNK_Ei.felhaszn.'!H26)</f>
        <v>2887</v>
      </c>
      <c r="I21" s="529">
        <f>SUM('ÖNK_Ei.felhaszn.'!I26)</f>
        <v>2888</v>
      </c>
      <c r="J21" s="529">
        <v>2881</v>
      </c>
      <c r="K21" s="529">
        <v>801</v>
      </c>
      <c r="L21" s="529">
        <v>629</v>
      </c>
      <c r="M21" s="529">
        <v>12645</v>
      </c>
      <c r="N21" s="529">
        <v>6801</v>
      </c>
      <c r="O21" s="530">
        <f t="shared" si="3"/>
        <v>287902</v>
      </c>
      <c r="P21" s="512">
        <f>SUM('ÖNK_Ei.felhaszn.'!C26)</f>
        <v>327087</v>
      </c>
      <c r="Q21" s="430"/>
    </row>
    <row r="22" spans="2:17" s="429" customFormat="1" ht="12.75">
      <c r="B22" s="544" t="s">
        <v>120</v>
      </c>
      <c r="C22" s="555"/>
      <c r="D22" s="545">
        <f>SUM('ÖNK_Ei.felhaszn.'!D27)</f>
        <v>1889</v>
      </c>
      <c r="E22" s="529">
        <f>SUM('ÖNK_Ei.felhaszn.'!E27)</f>
        <v>1889</v>
      </c>
      <c r="F22" s="529">
        <f>SUM('ÖNK_Ei.felhaszn.'!F27)</f>
        <v>1889</v>
      </c>
      <c r="G22" s="529">
        <f>SUM('ÖNK_Ei.felhaszn.'!G27)</f>
        <v>1760</v>
      </c>
      <c r="H22" s="529">
        <f>SUM('ÖNK_Ei.felhaszn.'!H27)</f>
        <v>1760</v>
      </c>
      <c r="I22" s="529">
        <f>SUM('ÖNK_Ei.felhaszn.'!I27)</f>
        <v>1760</v>
      </c>
      <c r="J22" s="529">
        <f>SUM('ÖNK_Ei.felhaszn.'!J27)</f>
        <v>0</v>
      </c>
      <c r="K22" s="529">
        <v>0</v>
      </c>
      <c r="L22" s="529">
        <v>2000</v>
      </c>
      <c r="M22" s="529">
        <v>-2752</v>
      </c>
      <c r="N22" s="529">
        <v>0</v>
      </c>
      <c r="O22" s="530">
        <f t="shared" si="3"/>
        <v>60602</v>
      </c>
      <c r="P22" s="512">
        <f>SUM('ÖNK_Ei.felhaszn.'!C27)</f>
        <v>70797</v>
      </c>
      <c r="Q22" s="430"/>
    </row>
    <row r="23" spans="2:17" s="429" customFormat="1" ht="12.75">
      <c r="B23" s="544" t="s">
        <v>121</v>
      </c>
      <c r="C23" s="555"/>
      <c r="D23" s="545">
        <f>SUM('ÖNK_Ei.felhaszn.'!D28)</f>
        <v>489</v>
      </c>
      <c r="E23" s="529">
        <f>SUM('ÖNK_Ei.felhaszn.'!E28)</f>
        <v>489</v>
      </c>
      <c r="F23" s="529">
        <f>SUM('ÖNK_Ei.felhaszn.'!F28)</f>
        <v>489</v>
      </c>
      <c r="G23" s="529">
        <f>SUM('ÖNK_Ei.felhaszn.'!G28)</f>
        <v>397</v>
      </c>
      <c r="H23" s="529">
        <f>SUM('ÖNK_Ei.felhaszn.'!H28)</f>
        <v>397</v>
      </c>
      <c r="I23" s="529">
        <f>SUM('ÖNK_Ei.felhaszn.'!I28)</f>
        <v>397</v>
      </c>
      <c r="J23" s="529">
        <f>SUM('ÖNK_Ei.felhaszn.'!J28)</f>
        <v>0</v>
      </c>
      <c r="K23" s="529">
        <v>1446</v>
      </c>
      <c r="L23" s="529">
        <v>4054</v>
      </c>
      <c r="M23" s="529">
        <v>-1500</v>
      </c>
      <c r="N23" s="529">
        <v>0</v>
      </c>
      <c r="O23" s="530">
        <f t="shared" si="3"/>
        <v>18861</v>
      </c>
      <c r="P23" s="512">
        <f>SUM('ÖNK_Ei.felhaszn.'!C28)</f>
        <v>25519</v>
      </c>
      <c r="Q23" s="430"/>
    </row>
    <row r="24" spans="2:17" s="429" customFormat="1" ht="12.75">
      <c r="B24" s="544" t="s">
        <v>279</v>
      </c>
      <c r="C24" s="555"/>
      <c r="D24" s="545">
        <f>SUM('ÖNK_Ei.felhaszn.'!D29)</f>
        <v>0</v>
      </c>
      <c r="E24" s="529">
        <f>SUM('ÖNK_Ei.felhaszn.'!E29)</f>
        <v>0</v>
      </c>
      <c r="F24" s="529">
        <f>SUM('ÖNK_Ei.felhaszn.'!F29)</f>
        <v>6364</v>
      </c>
      <c r="G24" s="529">
        <f>SUM('ÖNK_Ei.felhaszn.'!G29)</f>
        <v>0</v>
      </c>
      <c r="H24" s="529">
        <f>SUM('ÖNK_Ei.felhaszn.'!H29)</f>
        <v>0</v>
      </c>
      <c r="I24" s="529">
        <f>SUM('ÖNK_Ei.felhaszn.'!I29)</f>
        <v>213176</v>
      </c>
      <c r="J24" s="529">
        <f>SUM('ÖNK_Ei.felhaszn.'!J29)</f>
        <v>1259</v>
      </c>
      <c r="K24" s="529">
        <v>0</v>
      </c>
      <c r="L24" s="529">
        <v>2427</v>
      </c>
      <c r="M24" s="529">
        <v>37633</v>
      </c>
      <c r="N24" s="529">
        <v>0</v>
      </c>
      <c r="O24" s="530">
        <v>0</v>
      </c>
      <c r="P24" s="512">
        <v>260859</v>
      </c>
      <c r="Q24" s="430"/>
    </row>
    <row r="25" spans="2:17" s="429" customFormat="1" ht="12.75">
      <c r="B25" s="544" t="s">
        <v>280</v>
      </c>
      <c r="C25" s="555"/>
      <c r="D25" s="705">
        <f>SUM('ÖNK_Ei.felhaszn.'!D31)</f>
        <v>0</v>
      </c>
      <c r="E25" s="529">
        <f>SUM('ÖNK_Ei.felhaszn.'!E31)</f>
        <v>0</v>
      </c>
      <c r="F25" s="528">
        <f>SUM('ÖNK_Ei.felhaszn.'!F31)</f>
        <v>-15365</v>
      </c>
      <c r="G25" s="528">
        <f>SUM('ÖNK_Ei.felhaszn.'!G31)</f>
        <v>0</v>
      </c>
      <c r="H25" s="528">
        <f>SUM('ÖNK_Ei.felhaszn.'!H31)</f>
        <v>0</v>
      </c>
      <c r="I25" s="528">
        <f>SUM('ÖNK_Ei.felhaszn.'!I31)</f>
        <v>-10175</v>
      </c>
      <c r="J25" s="528">
        <v>16824</v>
      </c>
      <c r="K25" s="529">
        <v>11444</v>
      </c>
      <c r="L25" s="529">
        <v>-28646</v>
      </c>
      <c r="M25" s="529">
        <v>15230</v>
      </c>
      <c r="N25" s="529">
        <v>-5095</v>
      </c>
      <c r="O25" s="530">
        <f t="shared" si="3"/>
        <v>15783</v>
      </c>
      <c r="P25" s="512">
        <f>SUM('ÖNK_Ei.felhaszn.'!C30)</f>
        <v>0</v>
      </c>
      <c r="Q25" s="430"/>
    </row>
    <row r="26" spans="2:17" s="429" customFormat="1" ht="12.75">
      <c r="B26" s="544" t="s">
        <v>742</v>
      </c>
      <c r="C26" s="555"/>
      <c r="D26" s="705">
        <f>SUM('ÖNK_Ei.felhaszn.'!D32)</f>
        <v>18099</v>
      </c>
      <c r="E26" s="529">
        <f>SUM('ÖNK_Ei.felhaszn.'!E32)</f>
        <v>18047</v>
      </c>
      <c r="F26" s="528">
        <f>SUM('ÖNK_Ei.felhaszn.'!F32)</f>
        <v>1272</v>
      </c>
      <c r="G26" s="528">
        <f>SUM('ÖNK_Ei.felhaszn.'!G32)</f>
        <v>0</v>
      </c>
      <c r="H26" s="528">
        <f>SUM('ÖNK_Ei.felhaszn.'!H32)</f>
        <v>0</v>
      </c>
      <c r="I26" s="528">
        <f>SUM('ÖNK_Ei.felhaszn.'!I32)</f>
        <v>37418</v>
      </c>
      <c r="J26" s="528">
        <f>SUM('ÖNK_Ei.felhaszn.'!J32)</f>
        <v>0</v>
      </c>
      <c r="K26" s="528">
        <f>SUM('ÖNK_Ei.felhaszn.'!K32)</f>
        <v>0</v>
      </c>
      <c r="L26" s="528">
        <v>0</v>
      </c>
      <c r="M26" s="528">
        <v>-37418</v>
      </c>
      <c r="N26" s="528">
        <v>0</v>
      </c>
      <c r="O26" s="530">
        <f t="shared" si="3"/>
        <v>0</v>
      </c>
      <c r="P26" s="512">
        <v>37418</v>
      </c>
      <c r="Q26" s="430"/>
    </row>
    <row r="27" spans="2:17" s="478" customFormat="1" ht="13.5" thickBot="1">
      <c r="B27" s="573" t="s">
        <v>282</v>
      </c>
      <c r="C27" s="556"/>
      <c r="D27" s="574">
        <f>SUM(PH_Likviditási!D15+GAM_Likviditási!D15+ILMK_Likviditási!D15+OVI_Likviditási!D15)</f>
        <v>36798</v>
      </c>
      <c r="E27" s="574">
        <f>SUM(PH_Likviditási!E15+GAM_Likviditási!E15+ILMK_Likviditási!E15+OVI_Likviditási!E15)</f>
        <v>36800</v>
      </c>
      <c r="F27" s="574">
        <f>SUM(PH_Likviditási!F15+GAM_Likviditási!F15+ILMK_Likviditási!F15+OVI_Likviditási!F15)</f>
        <v>36798</v>
      </c>
      <c r="G27" s="574">
        <f>SUM(PH_Likviditási!G15+GAM_Likviditási!G15+ILMK_Likviditási!G15+OVI_Likviditási!G15)</f>
        <v>34393</v>
      </c>
      <c r="H27" s="574">
        <f>SUM(PH_Likviditási!H15+GAM_Likviditási!H15+ILMK_Likviditási!H15+OVI_Likviditási!H15)</f>
        <v>34395</v>
      </c>
      <c r="I27" s="574">
        <f>SUM(PH_Likviditási!I15+GAM_Likviditási!I15+ILMK_Likviditási!I15+OVI_Likviditási!I15)</f>
        <v>34393</v>
      </c>
      <c r="J27" s="574">
        <f>SUM(PH_Likviditási!J15+GAM_Likviditási!J15+ILMK_Likviditási!J15+OVI_Likviditási!J15)</f>
        <v>27053</v>
      </c>
      <c r="K27" s="574">
        <f>SUM(PH_Likviditási!K15+GAM_Likviditási!K15+ILMK_Likviditási!K15+OVI_Likviditási!K15)</f>
        <v>30141</v>
      </c>
      <c r="L27" s="574">
        <f>SUM(PH_Likviditási!L15+GAM_Likviditási!L15+ILMK_Likviditási!L15+OVI_Likviditási!L15)</f>
        <v>37528</v>
      </c>
      <c r="M27" s="574">
        <v>44379</v>
      </c>
      <c r="N27" s="574">
        <v>33102</v>
      </c>
      <c r="O27" s="574">
        <v>218258</v>
      </c>
      <c r="P27" s="533">
        <f>SUM(D27:O27)</f>
        <v>604038</v>
      </c>
      <c r="Q27" s="430"/>
    </row>
    <row r="28" spans="2:18" s="429" customFormat="1" ht="13.5" thickBot="1">
      <c r="B28" s="537" t="s">
        <v>148</v>
      </c>
      <c r="C28" s="558" t="s">
        <v>151</v>
      </c>
      <c r="D28" s="539">
        <f aca="true" t="shared" si="4" ref="D28:P28">SUM(D17:D27)</f>
        <v>92921</v>
      </c>
      <c r="E28" s="539">
        <f t="shared" si="4"/>
        <v>92871</v>
      </c>
      <c r="F28" s="539">
        <f t="shared" si="4"/>
        <v>67093</v>
      </c>
      <c r="G28" s="539">
        <f t="shared" si="4"/>
        <v>82812</v>
      </c>
      <c r="H28" s="539">
        <f t="shared" si="4"/>
        <v>82816</v>
      </c>
      <c r="I28" s="539">
        <f t="shared" si="4"/>
        <v>323231</v>
      </c>
      <c r="J28" s="539">
        <f t="shared" si="4"/>
        <v>99661</v>
      </c>
      <c r="K28" s="539">
        <f t="shared" si="4"/>
        <v>80179</v>
      </c>
      <c r="L28" s="539">
        <f t="shared" si="4"/>
        <v>83551</v>
      </c>
      <c r="M28" s="539">
        <f t="shared" si="4"/>
        <v>104922</v>
      </c>
      <c r="N28" s="539">
        <f t="shared" si="4"/>
        <v>65844</v>
      </c>
      <c r="O28" s="539">
        <f t="shared" si="4"/>
        <v>647134</v>
      </c>
      <c r="P28" s="538">
        <f t="shared" si="4"/>
        <v>1823035</v>
      </c>
      <c r="Q28" s="430"/>
      <c r="R28" s="430"/>
    </row>
    <row r="29" spans="2:17" s="429" customFormat="1" ht="13.5" thickBot="1">
      <c r="B29" s="559" t="s">
        <v>152</v>
      </c>
      <c r="C29" s="518" t="s">
        <v>153</v>
      </c>
      <c r="D29" s="560">
        <f aca="true" t="shared" si="5" ref="D29:O29">SUM(D8+D16-D28)</f>
        <v>56713</v>
      </c>
      <c r="E29" s="550">
        <f t="shared" si="5"/>
        <v>56250</v>
      </c>
      <c r="F29" s="550">
        <f t="shared" si="5"/>
        <v>81825</v>
      </c>
      <c r="G29" s="550">
        <f t="shared" si="5"/>
        <v>67708</v>
      </c>
      <c r="H29" s="550">
        <f t="shared" si="5"/>
        <v>53584</v>
      </c>
      <c r="I29" s="550">
        <f t="shared" si="5"/>
        <v>107451</v>
      </c>
      <c r="J29" s="550">
        <f t="shared" si="5"/>
        <v>60144</v>
      </c>
      <c r="K29" s="550">
        <f t="shared" si="5"/>
        <v>55430</v>
      </c>
      <c r="L29" s="550">
        <f t="shared" si="5"/>
        <v>80468</v>
      </c>
      <c r="M29" s="550">
        <f t="shared" si="5"/>
        <v>40515</v>
      </c>
      <c r="N29" s="550">
        <f t="shared" si="5"/>
        <v>96775</v>
      </c>
      <c r="O29" s="575">
        <f t="shared" si="5"/>
        <v>0</v>
      </c>
      <c r="P29" s="561"/>
      <c r="Q29" s="430"/>
    </row>
    <row r="30" ht="12.75">
      <c r="C30" s="27"/>
    </row>
    <row r="31" spans="9:16" s="2" customFormat="1" ht="12.75">
      <c r="I31" s="27"/>
      <c r="J31" s="27"/>
      <c r="P31" s="27"/>
    </row>
    <row r="32" spans="5:11" s="2" customFormat="1" ht="12.75">
      <c r="E32" s="27"/>
      <c r="F32" s="27"/>
      <c r="J32" s="27"/>
      <c r="K32" s="27"/>
    </row>
    <row r="33" spans="5:10" s="2" customFormat="1" ht="12.75">
      <c r="E33" s="27"/>
      <c r="F33" s="27"/>
      <c r="J33" s="27"/>
    </row>
    <row r="34" spans="5:10" s="2" customFormat="1" ht="12.75">
      <c r="E34" s="27"/>
      <c r="F34" s="27"/>
      <c r="J34" s="27"/>
    </row>
    <row r="35" spans="5:10" s="2" customFormat="1" ht="12.75">
      <c r="E35" s="27"/>
      <c r="F35" s="27"/>
      <c r="J35" s="27"/>
    </row>
    <row r="36" spans="5:10" s="2" customFormat="1" ht="12.75">
      <c r="E36" s="27"/>
      <c r="J36" s="27"/>
    </row>
    <row r="37" spans="5:10" s="2" customFormat="1" ht="12.75">
      <c r="E37" s="27"/>
      <c r="J37" s="27"/>
    </row>
    <row r="38" ht="12.75">
      <c r="I38" s="2"/>
    </row>
    <row r="39" ht="12.75">
      <c r="J39" s="63"/>
    </row>
    <row r="40" ht="12.75">
      <c r="J40" s="63"/>
    </row>
    <row r="41" ht="12.75">
      <c r="J41" s="63"/>
    </row>
    <row r="42" ht="12.75">
      <c r="J42" s="63"/>
    </row>
    <row r="43" spans="10:11" ht="12.75">
      <c r="J43" s="63"/>
      <c r="K43" s="63"/>
    </row>
    <row r="44" ht="12.75">
      <c r="J44" s="63"/>
    </row>
    <row r="45" ht="12.75">
      <c r="J45" s="63"/>
    </row>
    <row r="46" ht="12.75">
      <c r="J46" s="63"/>
    </row>
    <row r="47" ht="12.75">
      <c r="J47" s="63"/>
    </row>
    <row r="48" spans="10:11" ht="12.75">
      <c r="J48" s="63"/>
      <c r="K48" s="63"/>
    </row>
    <row r="49" ht="12.75">
      <c r="J4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H45" sqref="H45"/>
    </sheetView>
  </sheetViews>
  <sheetFormatPr defaultColWidth="9.00390625" defaultRowHeight="12.75"/>
  <cols>
    <col min="2" max="2" width="70.00390625" style="0" bestFit="1" customWidth="1"/>
    <col min="3" max="6" width="9.75390625" style="0" customWidth="1"/>
    <col min="7" max="7" width="16.25390625" style="18" customWidth="1"/>
    <col min="8" max="8" width="16.25390625" style="0" customWidth="1"/>
    <col min="9" max="9" width="16.25390625" style="18" customWidth="1"/>
  </cols>
  <sheetData>
    <row r="2" spans="2:10" ht="54" customHeight="1">
      <c r="B2" s="776" t="s">
        <v>641</v>
      </c>
      <c r="C2" s="776"/>
      <c r="D2" s="776"/>
      <c r="E2" s="776"/>
      <c r="F2" s="776"/>
      <c r="G2" s="776"/>
      <c r="H2" s="776"/>
      <c r="I2" s="776"/>
      <c r="J2" s="594"/>
    </row>
    <row r="4" ht="12.75">
      <c r="I4" s="136" t="s">
        <v>396</v>
      </c>
    </row>
    <row r="5" ht="13.5" thickBot="1"/>
    <row r="6" spans="2:9" s="18" customFormat="1" ht="26.25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652</v>
      </c>
      <c r="C7" s="603">
        <v>0</v>
      </c>
      <c r="D7" s="595">
        <v>0</v>
      </c>
      <c r="E7" s="595">
        <v>9151</v>
      </c>
      <c r="F7" s="595">
        <v>0</v>
      </c>
      <c r="G7" s="596">
        <f>SUM(C7:F7)</f>
        <v>9151</v>
      </c>
      <c r="H7" s="612">
        <v>0</v>
      </c>
      <c r="I7" s="607">
        <f>SUM(G7:H7)</f>
        <v>9151</v>
      </c>
    </row>
    <row r="8" spans="2:9" ht="12.75">
      <c r="B8" s="55" t="s">
        <v>653</v>
      </c>
      <c r="C8" s="604">
        <v>0</v>
      </c>
      <c r="D8" s="56">
        <v>0</v>
      </c>
      <c r="E8" s="56">
        <v>2000</v>
      </c>
      <c r="F8" s="56">
        <v>0</v>
      </c>
      <c r="G8" s="54">
        <f aca="true" t="shared" si="0" ref="G8:G47">SUM(C8:F8)</f>
        <v>2000</v>
      </c>
      <c r="H8" s="613">
        <v>0</v>
      </c>
      <c r="I8" s="608">
        <f aca="true" t="shared" si="1" ref="I8:I47">SUM(G8:H8)</f>
        <v>2000</v>
      </c>
    </row>
    <row r="9" spans="2:9" ht="12.75">
      <c r="B9" s="55" t="s">
        <v>654</v>
      </c>
      <c r="C9" s="604">
        <v>2505</v>
      </c>
      <c r="D9" s="56">
        <v>661</v>
      </c>
      <c r="E9" s="56">
        <v>155</v>
      </c>
      <c r="F9" s="56">
        <v>0</v>
      </c>
      <c r="G9" s="54">
        <f t="shared" si="0"/>
        <v>3321</v>
      </c>
      <c r="H9" s="613">
        <v>0</v>
      </c>
      <c r="I9" s="608">
        <f t="shared" si="1"/>
        <v>3321</v>
      </c>
    </row>
    <row r="10" spans="2:9" ht="12.75">
      <c r="B10" s="55" t="s">
        <v>655</v>
      </c>
      <c r="C10" s="604">
        <v>0</v>
      </c>
      <c r="D10" s="56">
        <v>0</v>
      </c>
      <c r="E10" s="56">
        <v>16310</v>
      </c>
      <c r="F10" s="56">
        <v>0</v>
      </c>
      <c r="G10" s="54">
        <f t="shared" si="0"/>
        <v>16310</v>
      </c>
      <c r="H10" s="613">
        <v>0</v>
      </c>
      <c r="I10" s="608">
        <f t="shared" si="1"/>
        <v>16310</v>
      </c>
    </row>
    <row r="11" spans="2:9" ht="12.75">
      <c r="B11" s="55" t="s">
        <v>656</v>
      </c>
      <c r="C11" s="604">
        <v>10463</v>
      </c>
      <c r="D11" s="56">
        <v>2825</v>
      </c>
      <c r="E11" s="56">
        <v>10458</v>
      </c>
      <c r="F11" s="56">
        <v>0</v>
      </c>
      <c r="G11" s="54">
        <f t="shared" si="0"/>
        <v>23746</v>
      </c>
      <c r="H11" s="613">
        <v>0</v>
      </c>
      <c r="I11" s="608">
        <f t="shared" si="1"/>
        <v>23746</v>
      </c>
    </row>
    <row r="12" spans="2:9" ht="12.75">
      <c r="B12" s="55" t="s">
        <v>657</v>
      </c>
      <c r="C12" s="604">
        <v>0</v>
      </c>
      <c r="D12" s="56">
        <v>0</v>
      </c>
      <c r="E12" s="56">
        <v>0</v>
      </c>
      <c r="F12" s="56">
        <v>0</v>
      </c>
      <c r="G12" s="54">
        <f t="shared" si="0"/>
        <v>0</v>
      </c>
      <c r="H12" s="613">
        <v>0</v>
      </c>
      <c r="I12" s="608">
        <f t="shared" si="1"/>
        <v>0</v>
      </c>
    </row>
    <row r="13" spans="2:9" ht="12.75">
      <c r="B13" s="55" t="s">
        <v>658</v>
      </c>
      <c r="C13" s="604">
        <v>0</v>
      </c>
      <c r="D13" s="56">
        <v>0</v>
      </c>
      <c r="E13" s="56">
        <v>794</v>
      </c>
      <c r="F13" s="56">
        <v>0</v>
      </c>
      <c r="G13" s="54">
        <f t="shared" si="0"/>
        <v>794</v>
      </c>
      <c r="H13" s="613">
        <v>0</v>
      </c>
      <c r="I13" s="608">
        <f t="shared" si="1"/>
        <v>794</v>
      </c>
    </row>
    <row r="14" spans="2:9" ht="12.75">
      <c r="B14" s="55" t="s">
        <v>661</v>
      </c>
      <c r="C14" s="604">
        <f>13503+87422</f>
        <v>100925</v>
      </c>
      <c r="D14" s="56">
        <f>1823+11802</f>
        <v>13625</v>
      </c>
      <c r="E14" s="56">
        <v>23510</v>
      </c>
      <c r="F14" s="56">
        <v>0</v>
      </c>
      <c r="G14" s="54">
        <f t="shared" si="0"/>
        <v>138060</v>
      </c>
      <c r="H14" s="613">
        <v>1241</v>
      </c>
      <c r="I14" s="608">
        <f t="shared" si="1"/>
        <v>139301</v>
      </c>
    </row>
    <row r="15" spans="2:9" s="571" customFormat="1" ht="12.75">
      <c r="B15" s="689" t="s">
        <v>708</v>
      </c>
      <c r="C15" s="690">
        <v>0</v>
      </c>
      <c r="D15" s="691">
        <v>0</v>
      </c>
      <c r="E15" s="691">
        <v>4000</v>
      </c>
      <c r="F15" s="691">
        <v>0</v>
      </c>
      <c r="G15" s="54">
        <f>SUM(C15:F15)</f>
        <v>4000</v>
      </c>
      <c r="H15" s="505">
        <v>0</v>
      </c>
      <c r="I15" s="608">
        <f>SUM(G15:H15)</f>
        <v>4000</v>
      </c>
    </row>
    <row r="16" spans="2:9" ht="12.75">
      <c r="B16" s="55" t="s">
        <v>745</v>
      </c>
      <c r="C16" s="604">
        <v>0</v>
      </c>
      <c r="D16" s="56">
        <v>0</v>
      </c>
      <c r="E16" s="56">
        <v>845</v>
      </c>
      <c r="F16" s="56">
        <v>0</v>
      </c>
      <c r="G16" s="54">
        <f>SUM(C16:F16)</f>
        <v>845</v>
      </c>
      <c r="H16" s="613">
        <v>0</v>
      </c>
      <c r="I16" s="608">
        <f>SUM(G16:H16)</f>
        <v>845</v>
      </c>
    </row>
    <row r="17" spans="2:9" ht="12.75">
      <c r="B17" s="55" t="s">
        <v>668</v>
      </c>
      <c r="C17" s="604">
        <v>0</v>
      </c>
      <c r="D17" s="56">
        <v>0</v>
      </c>
      <c r="E17" s="56">
        <v>0</v>
      </c>
      <c r="F17" s="56">
        <v>64695</v>
      </c>
      <c r="G17" s="54">
        <f t="shared" si="0"/>
        <v>64695</v>
      </c>
      <c r="H17" s="613">
        <v>0</v>
      </c>
      <c r="I17" s="608">
        <f t="shared" si="1"/>
        <v>64695</v>
      </c>
    </row>
    <row r="18" spans="2:9" ht="12.75">
      <c r="B18" s="55" t="s">
        <v>772</v>
      </c>
      <c r="C18" s="604">
        <v>0</v>
      </c>
      <c r="D18" s="56">
        <v>0</v>
      </c>
      <c r="E18" s="56">
        <v>0</v>
      </c>
      <c r="F18" s="56">
        <v>20674</v>
      </c>
      <c r="G18" s="54">
        <f>SUM(C18:F18)</f>
        <v>20674</v>
      </c>
      <c r="H18" s="613">
        <v>0</v>
      </c>
      <c r="I18" s="608">
        <f>SUM(G18:H18)</f>
        <v>20674</v>
      </c>
    </row>
    <row r="19" spans="2:9" ht="12.75">
      <c r="B19" s="55" t="s">
        <v>669</v>
      </c>
      <c r="C19" s="604">
        <v>0</v>
      </c>
      <c r="D19" s="56">
        <v>0</v>
      </c>
      <c r="E19" s="56">
        <v>0</v>
      </c>
      <c r="F19" s="56">
        <v>1097</v>
      </c>
      <c r="G19" s="54">
        <f t="shared" si="0"/>
        <v>1097</v>
      </c>
      <c r="H19" s="613">
        <v>0</v>
      </c>
      <c r="I19" s="608">
        <f t="shared" si="1"/>
        <v>1097</v>
      </c>
    </row>
    <row r="20" spans="2:9" ht="12.75">
      <c r="B20" s="55" t="s">
        <v>670</v>
      </c>
      <c r="C20" s="604">
        <v>0</v>
      </c>
      <c r="D20" s="56">
        <v>0</v>
      </c>
      <c r="E20" s="56">
        <v>0</v>
      </c>
      <c r="F20" s="56">
        <v>2428</v>
      </c>
      <c r="G20" s="54">
        <f t="shared" si="0"/>
        <v>2428</v>
      </c>
      <c r="H20" s="613">
        <v>0</v>
      </c>
      <c r="I20" s="608">
        <f t="shared" si="1"/>
        <v>2428</v>
      </c>
    </row>
    <row r="21" spans="2:9" ht="12.75">
      <c r="B21" s="55" t="s">
        <v>746</v>
      </c>
      <c r="C21" s="604">
        <v>0</v>
      </c>
      <c r="D21" s="56">
        <v>0</v>
      </c>
      <c r="E21" s="56">
        <v>0</v>
      </c>
      <c r="F21" s="56">
        <v>1467</v>
      </c>
      <c r="G21" s="54">
        <f>SUM(C21:F21)</f>
        <v>1467</v>
      </c>
      <c r="H21" s="613">
        <v>0</v>
      </c>
      <c r="I21" s="608">
        <f>SUM(G21:H21)</f>
        <v>1467</v>
      </c>
    </row>
    <row r="22" spans="2:9" ht="12.75">
      <c r="B22" s="55" t="s">
        <v>747</v>
      </c>
      <c r="C22" s="604">
        <v>0</v>
      </c>
      <c r="D22" s="56">
        <v>0</v>
      </c>
      <c r="E22" s="56">
        <v>0</v>
      </c>
      <c r="F22" s="56">
        <v>1446</v>
      </c>
      <c r="G22" s="54">
        <f>SUM(C22:F22)</f>
        <v>1446</v>
      </c>
      <c r="H22" s="613">
        <v>0</v>
      </c>
      <c r="I22" s="608">
        <f>SUM(G22:H22)</f>
        <v>1446</v>
      </c>
    </row>
    <row r="23" spans="2:9" ht="12.75">
      <c r="B23" s="55" t="s">
        <v>717</v>
      </c>
      <c r="C23" s="604">
        <v>0</v>
      </c>
      <c r="D23" s="56">
        <v>0</v>
      </c>
      <c r="E23" s="56">
        <v>0</v>
      </c>
      <c r="F23" s="56">
        <v>8747</v>
      </c>
      <c r="G23" s="54">
        <f>SUM(C23:F23)</f>
        <v>8747</v>
      </c>
      <c r="H23" s="613">
        <v>0</v>
      </c>
      <c r="I23" s="608">
        <f>SUM(G23:H23)</f>
        <v>8747</v>
      </c>
    </row>
    <row r="24" spans="2:9" ht="12.75">
      <c r="B24" s="55" t="s">
        <v>703</v>
      </c>
      <c r="C24" s="604">
        <v>0</v>
      </c>
      <c r="D24" s="56">
        <v>0</v>
      </c>
      <c r="E24" s="56">
        <v>0</v>
      </c>
      <c r="F24" s="56">
        <v>2500</v>
      </c>
      <c r="G24" s="54">
        <f>SUM(C24:F24)</f>
        <v>2500</v>
      </c>
      <c r="H24" s="613">
        <v>0</v>
      </c>
      <c r="I24" s="608">
        <f>SUM(G24:H24)</f>
        <v>2500</v>
      </c>
    </row>
    <row r="25" spans="2:9" ht="12.75">
      <c r="B25" s="55" t="s">
        <v>671</v>
      </c>
      <c r="C25" s="604">
        <v>0</v>
      </c>
      <c r="D25" s="56">
        <v>0</v>
      </c>
      <c r="E25" s="56">
        <v>0</v>
      </c>
      <c r="F25" s="56">
        <v>54</v>
      </c>
      <c r="G25" s="54">
        <f t="shared" si="0"/>
        <v>54</v>
      </c>
      <c r="H25" s="613">
        <v>0</v>
      </c>
      <c r="I25" s="608">
        <f t="shared" si="1"/>
        <v>54</v>
      </c>
    </row>
    <row r="26" spans="2:9" ht="12.75">
      <c r="B26" s="55" t="s">
        <v>242</v>
      </c>
      <c r="C26" s="604">
        <v>0</v>
      </c>
      <c r="D26" s="56">
        <v>0</v>
      </c>
      <c r="E26" s="56">
        <v>0</v>
      </c>
      <c r="F26" s="56">
        <f>7200+400</f>
        <v>7600</v>
      </c>
      <c r="G26" s="54">
        <f>SUM(C26:F26)</f>
        <v>7600</v>
      </c>
      <c r="H26" s="613">
        <v>0</v>
      </c>
      <c r="I26" s="608">
        <f>SUM(G26:H26)</f>
        <v>7600</v>
      </c>
    </row>
    <row r="27" spans="2:9" s="571" customFormat="1" ht="12.75">
      <c r="B27" s="689" t="s">
        <v>711</v>
      </c>
      <c r="C27" s="690">
        <v>0</v>
      </c>
      <c r="D27" s="691">
        <v>0</v>
      </c>
      <c r="E27" s="691">
        <v>0</v>
      </c>
      <c r="F27" s="691">
        <v>2500</v>
      </c>
      <c r="G27" s="54">
        <f>SUM(C27:F27)</f>
        <v>2500</v>
      </c>
      <c r="H27" s="505">
        <v>0</v>
      </c>
      <c r="I27" s="608">
        <f>SUM(G27:H27)</f>
        <v>2500</v>
      </c>
    </row>
    <row r="28" spans="2:9" ht="12.75">
      <c r="B28" s="55" t="s">
        <v>243</v>
      </c>
      <c r="C28" s="604">
        <v>0</v>
      </c>
      <c r="D28" s="56">
        <v>0</v>
      </c>
      <c r="E28" s="56">
        <v>0</v>
      </c>
      <c r="F28" s="56">
        <v>98</v>
      </c>
      <c r="G28" s="54">
        <f t="shared" si="0"/>
        <v>98</v>
      </c>
      <c r="H28" s="613">
        <v>0</v>
      </c>
      <c r="I28" s="608">
        <f t="shared" si="1"/>
        <v>98</v>
      </c>
    </row>
    <row r="29" spans="2:9" ht="13.5" thickBot="1">
      <c r="B29" s="209" t="s">
        <v>672</v>
      </c>
      <c r="C29" s="623">
        <v>0</v>
      </c>
      <c r="D29" s="624">
        <v>0</v>
      </c>
      <c r="E29" s="624">
        <v>0</v>
      </c>
      <c r="F29" s="624">
        <f>1200+800+750+1000+11+9099+12760</f>
        <v>25620</v>
      </c>
      <c r="G29" s="597">
        <f t="shared" si="0"/>
        <v>25620</v>
      </c>
      <c r="H29" s="625">
        <v>0</v>
      </c>
      <c r="I29" s="609">
        <f t="shared" si="1"/>
        <v>25620</v>
      </c>
    </row>
    <row r="30" spans="2:9" s="626" customFormat="1" ht="15.75" thickBot="1">
      <c r="B30" s="627" t="s">
        <v>664</v>
      </c>
      <c r="C30" s="628">
        <f>SUM(C7:C29)</f>
        <v>113893</v>
      </c>
      <c r="D30" s="629">
        <f>SUM(D7:D29)</f>
        <v>17111</v>
      </c>
      <c r="E30" s="629">
        <f>SUM(E7:E29)</f>
        <v>67223</v>
      </c>
      <c r="F30" s="629">
        <f>SUM(F7:F29)</f>
        <v>138926</v>
      </c>
      <c r="G30" s="630">
        <f t="shared" si="0"/>
        <v>337153</v>
      </c>
      <c r="H30" s="631">
        <f>SUM(H7:H29)</f>
        <v>1241</v>
      </c>
      <c r="I30" s="632">
        <f t="shared" si="1"/>
        <v>338394</v>
      </c>
    </row>
    <row r="31" spans="2:9" ht="13.5" thickBot="1">
      <c r="B31" s="209" t="s">
        <v>660</v>
      </c>
      <c r="C31" s="623">
        <v>21782</v>
      </c>
      <c r="D31" s="624">
        <v>5765</v>
      </c>
      <c r="E31" s="624">
        <v>4323</v>
      </c>
      <c r="F31" s="624">
        <v>0</v>
      </c>
      <c r="G31" s="597">
        <f>SUM(C31:F31)</f>
        <v>31870</v>
      </c>
      <c r="H31" s="625">
        <f>8226+1550</f>
        <v>9776</v>
      </c>
      <c r="I31" s="609">
        <f>SUM(G31:H31)</f>
        <v>41646</v>
      </c>
    </row>
    <row r="32" spans="2:9" s="18" customFormat="1" ht="13.5" thickBot="1">
      <c r="B32" s="673" t="s">
        <v>704</v>
      </c>
      <c r="C32" s="674">
        <f>SUM(C31:C31)</f>
        <v>21782</v>
      </c>
      <c r="D32" s="675">
        <f>SUM(D31:D31)</f>
        <v>5765</v>
      </c>
      <c r="E32" s="675">
        <f>SUM(E31:E31)</f>
        <v>4323</v>
      </c>
      <c r="F32" s="675">
        <f>SUM(F31:F31)</f>
        <v>0</v>
      </c>
      <c r="G32" s="676">
        <f>SUM(C32:F32)</f>
        <v>31870</v>
      </c>
      <c r="H32" s="677">
        <f>SUM(H31:H31)</f>
        <v>9776</v>
      </c>
      <c r="I32" s="678">
        <f>SUM(G32:H32)</f>
        <v>41646</v>
      </c>
    </row>
    <row r="33" spans="2:9" s="571" customFormat="1" ht="12.75">
      <c r="B33" s="679" t="s">
        <v>663</v>
      </c>
      <c r="C33" s="680">
        <v>4017</v>
      </c>
      <c r="D33" s="681">
        <v>766</v>
      </c>
      <c r="E33" s="681">
        <v>1835</v>
      </c>
      <c r="F33" s="681">
        <v>0</v>
      </c>
      <c r="G33" s="599">
        <f t="shared" si="0"/>
        <v>6618</v>
      </c>
      <c r="H33" s="682">
        <v>0</v>
      </c>
      <c r="I33" s="610">
        <f t="shared" si="1"/>
        <v>6618</v>
      </c>
    </row>
    <row r="34" spans="2:9" s="571" customFormat="1" ht="12.75">
      <c r="B34" s="683" t="s">
        <v>659</v>
      </c>
      <c r="C34" s="684">
        <v>3928</v>
      </c>
      <c r="D34" s="685">
        <v>1061</v>
      </c>
      <c r="E34" s="685">
        <v>2992</v>
      </c>
      <c r="F34" s="685">
        <v>0</v>
      </c>
      <c r="G34" s="596">
        <f>SUM(C34:F34)</f>
        <v>7981</v>
      </c>
      <c r="H34" s="503">
        <v>0</v>
      </c>
      <c r="I34" s="607">
        <f>SUM(G34:H34)</f>
        <v>7981</v>
      </c>
    </row>
    <row r="35" spans="2:9" s="571" customFormat="1" ht="13.5" thickBot="1">
      <c r="B35" s="686" t="s">
        <v>673</v>
      </c>
      <c r="C35" s="687">
        <v>0</v>
      </c>
      <c r="D35" s="688">
        <v>0</v>
      </c>
      <c r="E35" s="688">
        <v>1500</v>
      </c>
      <c r="F35" s="688">
        <v>0</v>
      </c>
      <c r="G35" s="597">
        <f>SUM(C35:F35)</f>
        <v>1500</v>
      </c>
      <c r="H35" s="507">
        <v>391315</v>
      </c>
      <c r="I35" s="609">
        <f>SUM(G35:H35)</f>
        <v>392815</v>
      </c>
    </row>
    <row r="36" spans="2:9" s="18" customFormat="1" ht="13.5" thickBot="1">
      <c r="B36" s="673" t="s">
        <v>706</v>
      </c>
      <c r="C36" s="674">
        <f>SUM(C33:C35)</f>
        <v>7945</v>
      </c>
      <c r="D36" s="674">
        <f>SUM(D33:D35)</f>
        <v>1827</v>
      </c>
      <c r="E36" s="674">
        <f>SUM(E33:E35)</f>
        <v>6327</v>
      </c>
      <c r="F36" s="674">
        <f>SUM(F33:F35)</f>
        <v>0</v>
      </c>
      <c r="G36" s="676">
        <f>SUM(C36:F36)</f>
        <v>16099</v>
      </c>
      <c r="H36" s="677">
        <f>SUM(H33:H35)</f>
        <v>391315</v>
      </c>
      <c r="I36" s="678">
        <f>SUM(G36:H36)</f>
        <v>407414</v>
      </c>
    </row>
    <row r="37" spans="2:9" s="571" customFormat="1" ht="12.75">
      <c r="B37" s="683" t="s">
        <v>648</v>
      </c>
      <c r="C37" s="684">
        <v>0</v>
      </c>
      <c r="D37" s="685">
        <v>0</v>
      </c>
      <c r="E37" s="685">
        <v>500</v>
      </c>
      <c r="F37" s="685">
        <v>0</v>
      </c>
      <c r="G37" s="596">
        <f>SUM(C37:F37)</f>
        <v>500</v>
      </c>
      <c r="H37" s="503">
        <v>0</v>
      </c>
      <c r="I37" s="607">
        <f>SUM(G37:H37)</f>
        <v>500</v>
      </c>
    </row>
    <row r="38" spans="2:9" s="571" customFormat="1" ht="12.75">
      <c r="B38" s="689" t="s">
        <v>709</v>
      </c>
      <c r="C38" s="690">
        <v>0</v>
      </c>
      <c r="D38" s="691">
        <v>0</v>
      </c>
      <c r="E38" s="691">
        <f>3200+400</f>
        <v>3600</v>
      </c>
      <c r="F38" s="691">
        <v>0</v>
      </c>
      <c r="G38" s="54">
        <f>SUM(C38:F38)</f>
        <v>3600</v>
      </c>
      <c r="H38" s="505">
        <v>0</v>
      </c>
      <c r="I38" s="608">
        <f>SUM(G38:H38)</f>
        <v>3600</v>
      </c>
    </row>
    <row r="39" spans="2:9" s="571" customFormat="1" ht="12.75">
      <c r="B39" s="689" t="s">
        <v>705</v>
      </c>
      <c r="C39" s="690">
        <v>0</v>
      </c>
      <c r="D39" s="691">
        <v>0</v>
      </c>
      <c r="E39" s="691">
        <v>300</v>
      </c>
      <c r="F39" s="691">
        <v>0</v>
      </c>
      <c r="G39" s="54">
        <f t="shared" si="0"/>
        <v>300</v>
      </c>
      <c r="H39" s="505">
        <v>0</v>
      </c>
      <c r="I39" s="608">
        <f t="shared" si="1"/>
        <v>300</v>
      </c>
    </row>
    <row r="40" spans="2:9" s="571" customFormat="1" ht="12.75">
      <c r="B40" s="689" t="s">
        <v>710</v>
      </c>
      <c r="C40" s="690">
        <v>0</v>
      </c>
      <c r="D40" s="691">
        <v>0</v>
      </c>
      <c r="E40" s="691">
        <v>63900</v>
      </c>
      <c r="F40" s="691">
        <v>0</v>
      </c>
      <c r="G40" s="54">
        <f t="shared" si="0"/>
        <v>63900</v>
      </c>
      <c r="H40" s="505">
        <v>0</v>
      </c>
      <c r="I40" s="608">
        <f t="shared" si="1"/>
        <v>63900</v>
      </c>
    </row>
    <row r="41" spans="2:9" s="571" customFormat="1" ht="12.75">
      <c r="B41" s="689" t="s">
        <v>667</v>
      </c>
      <c r="C41" s="690">
        <v>0</v>
      </c>
      <c r="D41" s="691">
        <v>0</v>
      </c>
      <c r="E41" s="691">
        <v>0</v>
      </c>
      <c r="F41" s="691">
        <v>1234</v>
      </c>
      <c r="G41" s="54">
        <f t="shared" si="0"/>
        <v>1234</v>
      </c>
      <c r="H41" s="505">
        <v>216</v>
      </c>
      <c r="I41" s="608">
        <f t="shared" si="1"/>
        <v>1450</v>
      </c>
    </row>
    <row r="42" spans="2:9" s="571" customFormat="1" ht="12.75">
      <c r="B42" s="689" t="s">
        <v>712</v>
      </c>
      <c r="C42" s="690">
        <v>0</v>
      </c>
      <c r="D42" s="691">
        <v>0</v>
      </c>
      <c r="E42" s="691">
        <v>0</v>
      </c>
      <c r="F42" s="691">
        <v>200</v>
      </c>
      <c r="G42" s="54">
        <f t="shared" si="0"/>
        <v>200</v>
      </c>
      <c r="H42" s="505">
        <v>0</v>
      </c>
      <c r="I42" s="608">
        <f t="shared" si="1"/>
        <v>200</v>
      </c>
    </row>
    <row r="43" spans="2:9" s="571" customFormat="1" ht="12.75">
      <c r="B43" s="689" t="s">
        <v>748</v>
      </c>
      <c r="C43" s="690">
        <v>0</v>
      </c>
      <c r="D43" s="691">
        <v>0</v>
      </c>
      <c r="E43" s="691">
        <v>0</v>
      </c>
      <c r="F43" s="691">
        <v>11176</v>
      </c>
      <c r="G43" s="54">
        <f>SUM(C43:F43)</f>
        <v>11176</v>
      </c>
      <c r="H43" s="505">
        <v>6815</v>
      </c>
      <c r="I43" s="608">
        <f>SUM(G43:H43)</f>
        <v>17991</v>
      </c>
    </row>
    <row r="44" spans="2:9" s="571" customFormat="1" ht="13.5" thickBot="1">
      <c r="B44" s="689" t="s">
        <v>672</v>
      </c>
      <c r="C44" s="690">
        <v>0</v>
      </c>
      <c r="D44" s="691">
        <v>0</v>
      </c>
      <c r="E44" s="691">
        <v>0</v>
      </c>
      <c r="F44" s="691">
        <v>24</v>
      </c>
      <c r="G44" s="54">
        <f t="shared" si="0"/>
        <v>24</v>
      </c>
      <c r="H44" s="505">
        <v>0</v>
      </c>
      <c r="I44" s="608">
        <f t="shared" si="1"/>
        <v>24</v>
      </c>
    </row>
    <row r="45" spans="2:9" s="18" customFormat="1" ht="13.5" thickBot="1">
      <c r="B45" s="673" t="s">
        <v>707</v>
      </c>
      <c r="C45" s="674">
        <f>SUM(C37:C44)</f>
        <v>0</v>
      </c>
      <c r="D45" s="674">
        <f>SUM(D37:D44)</f>
        <v>0</v>
      </c>
      <c r="E45" s="674">
        <f>SUM(E37:E44)</f>
        <v>68300</v>
      </c>
      <c r="F45" s="674">
        <f>SUM(F37:F44)</f>
        <v>12634</v>
      </c>
      <c r="G45" s="676">
        <f>SUM(C45:F45)</f>
        <v>80934</v>
      </c>
      <c r="H45" s="677">
        <f>SUM(H37:H44)</f>
        <v>7031</v>
      </c>
      <c r="I45" s="678">
        <f>SUM(G45:H45)</f>
        <v>87965</v>
      </c>
    </row>
    <row r="46" spans="2:9" ht="13.5" thickBot="1">
      <c r="B46" s="494" t="s">
        <v>151</v>
      </c>
      <c r="C46" s="606">
        <v>0</v>
      </c>
      <c r="D46" s="600">
        <v>0</v>
      </c>
      <c r="E46" s="600">
        <v>0</v>
      </c>
      <c r="F46" s="600">
        <v>0</v>
      </c>
      <c r="G46" s="601">
        <f t="shared" si="0"/>
        <v>0</v>
      </c>
      <c r="H46" s="615">
        <v>0</v>
      </c>
      <c r="I46" s="611">
        <f t="shared" si="1"/>
        <v>0</v>
      </c>
    </row>
    <row r="47" spans="2:9" s="626" customFormat="1" ht="15.75" thickBot="1">
      <c r="B47" s="627" t="s">
        <v>666</v>
      </c>
      <c r="C47" s="628">
        <f>SUM(C46)</f>
        <v>0</v>
      </c>
      <c r="D47" s="629">
        <f>SUM(D46)</f>
        <v>0</v>
      </c>
      <c r="E47" s="629">
        <f>SUM(E46)</f>
        <v>0</v>
      </c>
      <c r="F47" s="629">
        <f>SUM(F46)</f>
        <v>0</v>
      </c>
      <c r="G47" s="630">
        <f t="shared" si="0"/>
        <v>0</v>
      </c>
      <c r="H47" s="631">
        <f>SUM(H46)</f>
        <v>0</v>
      </c>
      <c r="I47" s="632">
        <f t="shared" si="1"/>
        <v>0</v>
      </c>
    </row>
    <row r="49" spans="3:9" ht="12.75">
      <c r="C49" s="63"/>
      <c r="D49" s="63"/>
      <c r="E49" s="63"/>
      <c r="F49" s="63"/>
      <c r="G49" s="63"/>
      <c r="H49" s="63"/>
      <c r="I49" s="63"/>
    </row>
  </sheetData>
  <sheetProtection/>
  <mergeCells count="1">
    <mergeCell ref="B2:I2"/>
  </mergeCells>
  <printOptions horizontalCentered="1"/>
  <pageMargins left="0.7480314960629921" right="0.7480314960629921" top="0.6299212598425197" bottom="0.6299212598425197" header="0.5118110236220472" footer="0.5118110236220472"/>
  <pageSetup horizontalDpi="600" verticalDpi="600" orientation="landscape" paperSize="9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409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590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6">
      <selection activeCell="B34" sqref="B34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3" max="3" width="10.375" style="0" bestFit="1" customWidth="1"/>
    <col min="4" max="4" width="12.25390625" style="0" bestFit="1" customWidth="1"/>
  </cols>
  <sheetData>
    <row r="1" spans="1:3" ht="15.75">
      <c r="A1" s="765" t="s">
        <v>593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397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2796</v>
      </c>
    </row>
    <row r="8" spans="1:2" ht="18.75" customHeight="1">
      <c r="A8" s="53" t="s">
        <v>82</v>
      </c>
      <c r="B8" s="54">
        <f>SUM(B9:B14)</f>
        <v>2796</v>
      </c>
    </row>
    <row r="9" spans="1:2" ht="18.75" customHeight="1">
      <c r="A9" s="55" t="s">
        <v>83</v>
      </c>
      <c r="B9" s="57">
        <f>SUM('PH_Int.műk.bev.'!B8)</f>
        <v>300</v>
      </c>
    </row>
    <row r="10" spans="1:2" ht="18.75" customHeight="1">
      <c r="A10" s="55" t="s">
        <v>84</v>
      </c>
      <c r="B10" s="57">
        <f>SUM('PH_Int.műk.bev.'!B12)</f>
        <v>0</v>
      </c>
    </row>
    <row r="11" spans="1:2" ht="18.75" customHeight="1">
      <c r="A11" s="55" t="s">
        <v>85</v>
      </c>
      <c r="B11" s="57">
        <f>SUM('PH_Int.műk.bev.'!B15)</f>
        <v>665</v>
      </c>
    </row>
    <row r="12" spans="1:2" ht="18.75" customHeight="1">
      <c r="A12" s="55" t="s">
        <v>86</v>
      </c>
      <c r="B12" s="57">
        <f>SUM('PH_Int.műk.bev.'!B19)</f>
        <v>1300</v>
      </c>
    </row>
    <row r="13" spans="1:2" ht="18.75" customHeight="1">
      <c r="A13" s="55" t="s">
        <v>87</v>
      </c>
      <c r="B13" s="57">
        <f>SUM('PH_Int.műk.bev.'!B22)</f>
        <v>0</v>
      </c>
    </row>
    <row r="14" spans="1:2" ht="18.75" customHeight="1">
      <c r="A14" s="55" t="s">
        <v>88</v>
      </c>
      <c r="B14" s="57">
        <f>SUM('PH_Int.műk.bev.'!B25)</f>
        <v>531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529</v>
      </c>
      <c r="B18" s="66">
        <f>SUM(B19+B20)</f>
        <v>863</v>
      </c>
    </row>
    <row r="19" spans="1:3" s="59" customFormat="1" ht="18.75" customHeight="1">
      <c r="A19" s="86" t="s">
        <v>588</v>
      </c>
      <c r="B19" s="58">
        <f>SUM('PH_Tám. ért. bev.'!B6)</f>
        <v>863</v>
      </c>
      <c r="C19" s="326"/>
    </row>
    <row r="20" spans="1:2" s="59" customFormat="1" ht="18.75" customHeight="1">
      <c r="A20" s="86" t="s">
        <v>589</v>
      </c>
      <c r="B20" s="58">
        <f>SUM('PH_Tám. ért. bev.'!B9)</f>
        <v>0</v>
      </c>
    </row>
    <row r="21" spans="1:2" s="67" customFormat="1" ht="18.75" customHeight="1">
      <c r="A21" s="65" t="s">
        <v>530</v>
      </c>
      <c r="B21" s="66">
        <f>SUM(B22:B23)</f>
        <v>125</v>
      </c>
    </row>
    <row r="22" spans="1:2" s="59" customFormat="1" ht="18.75" customHeight="1">
      <c r="A22" s="86" t="s">
        <v>96</v>
      </c>
      <c r="B22" s="58">
        <f>SUM('PH_Átvett pe.'!B6)</f>
        <v>125</v>
      </c>
    </row>
    <row r="23" spans="1:2" s="59" customFormat="1" ht="18.75" customHeight="1" thickBot="1">
      <c r="A23" s="86" t="s">
        <v>97</v>
      </c>
      <c r="B23" s="58">
        <f>SUM('PH_Átvett pe.'!B8)</f>
        <v>0</v>
      </c>
    </row>
    <row r="24" spans="1:3" s="67" customFormat="1" ht="19.5" customHeight="1" thickBot="1">
      <c r="A24" s="68" t="s">
        <v>66</v>
      </c>
      <c r="B24" s="69">
        <f>SUM(B7+B15+B16+B18+B21)</f>
        <v>3784</v>
      </c>
      <c r="C24" s="302"/>
    </row>
    <row r="25" spans="1:2" s="67" customFormat="1" ht="32.25" customHeight="1">
      <c r="A25" s="70" t="s">
        <v>98</v>
      </c>
      <c r="B25" s="71">
        <f>SUM(B26+B29)</f>
        <v>5983</v>
      </c>
    </row>
    <row r="26" spans="1:2" ht="18.75" customHeight="1">
      <c r="A26" s="55" t="s">
        <v>99</v>
      </c>
      <c r="B26" s="72">
        <f>SUM(B27+B28)</f>
        <v>5983</v>
      </c>
    </row>
    <row r="27" spans="1:2" ht="18.75" customHeight="1">
      <c r="A27" s="55" t="s">
        <v>100</v>
      </c>
      <c r="B27" s="72">
        <v>5983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228" t="s">
        <v>277</v>
      </c>
      <c r="B30" s="229">
        <v>0</v>
      </c>
    </row>
    <row r="31" spans="1:2" s="67" customFormat="1" ht="18.75" customHeight="1" thickBot="1">
      <c r="A31" s="76" t="s">
        <v>285</v>
      </c>
      <c r="B31" s="231">
        <f>SUM(B24+B25+B30)</f>
        <v>9767</v>
      </c>
    </row>
    <row r="32" spans="1:3" s="227" customFormat="1" ht="18.75" customHeight="1">
      <c r="A32" s="233" t="s">
        <v>282</v>
      </c>
      <c r="B32" s="234">
        <f>SUM(B33:B34)</f>
        <v>374721</v>
      </c>
      <c r="C32" s="479"/>
    </row>
    <row r="33" spans="1:2" s="227" customFormat="1" ht="18.75" customHeight="1">
      <c r="A33" s="225" t="s">
        <v>283</v>
      </c>
      <c r="B33" s="226">
        <v>374721</v>
      </c>
    </row>
    <row r="34" spans="1:2" s="227" customFormat="1" ht="18.75" customHeight="1" thickBot="1">
      <c r="A34" s="235" t="s">
        <v>284</v>
      </c>
      <c r="B34" s="236">
        <v>0</v>
      </c>
    </row>
    <row r="35" spans="1:2" s="78" customFormat="1" ht="18.75" customHeight="1" thickBot="1">
      <c r="A35" s="232" t="s">
        <v>286</v>
      </c>
      <c r="B35" s="75">
        <f>SUM(B31+B32)</f>
        <v>384488</v>
      </c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75" zoomScaleNormal="75" zoomScalePageLayoutView="0" workbookViewId="0" topLeftCell="A19">
      <selection activeCell="E9" sqref="E9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324" customWidth="1"/>
    <col min="4" max="4" width="11.75390625" style="0" bestFit="1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594</v>
      </c>
      <c r="B2" s="768"/>
    </row>
    <row r="3" spans="1:2" ht="18.75" customHeight="1">
      <c r="A3" s="278"/>
      <c r="B3" s="28"/>
    </row>
    <row r="4" spans="1:2" ht="15.75">
      <c r="A4" s="29"/>
      <c r="B4" s="428" t="s">
        <v>398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3" s="18" customFormat="1" ht="24.75" customHeight="1">
      <c r="A8" s="440" t="s">
        <v>104</v>
      </c>
      <c r="B8" s="441">
        <f>SUM(B9:B11)</f>
        <v>300</v>
      </c>
      <c r="C8" s="17"/>
    </row>
    <row r="9" spans="1:3" s="18" customFormat="1" ht="24.75" customHeight="1">
      <c r="A9" s="41" t="s">
        <v>160</v>
      </c>
      <c r="B9" s="40">
        <v>100</v>
      </c>
      <c r="C9" s="17"/>
    </row>
    <row r="10" spans="1:3" s="18" customFormat="1" ht="24.75" customHeight="1">
      <c r="A10" s="41" t="s">
        <v>161</v>
      </c>
      <c r="B10" s="40">
        <v>150</v>
      </c>
      <c r="C10" s="17"/>
    </row>
    <row r="11" spans="1:3" s="18" customFormat="1" ht="24.75" customHeight="1">
      <c r="A11" s="41" t="s">
        <v>162</v>
      </c>
      <c r="B11" s="40">
        <v>50</v>
      </c>
      <c r="C11" s="17"/>
    </row>
    <row r="12" spans="1:3" s="18" customFormat="1" ht="24.75" customHeight="1">
      <c r="A12" s="442" t="s">
        <v>105</v>
      </c>
      <c r="B12" s="443">
        <f>SUM(B13:B14)</f>
        <v>0</v>
      </c>
      <c r="C12" s="17"/>
    </row>
    <row r="13" spans="1:2" ht="24.75" customHeight="1">
      <c r="A13" s="41" t="s">
        <v>48</v>
      </c>
      <c r="B13" s="40">
        <v>0</v>
      </c>
    </row>
    <row r="14" spans="1:2" ht="24.75" customHeight="1">
      <c r="A14" s="41" t="s">
        <v>158</v>
      </c>
      <c r="B14" s="40">
        <v>0</v>
      </c>
    </row>
    <row r="15" spans="1:3" s="18" customFormat="1" ht="24.75" customHeight="1">
      <c r="A15" s="444" t="s">
        <v>163</v>
      </c>
      <c r="B15" s="443">
        <f>SUM(B16:B18)</f>
        <v>665</v>
      </c>
      <c r="C15" s="17"/>
    </row>
    <row r="16" spans="1:2" ht="24.75" customHeight="1">
      <c r="A16" s="41" t="s">
        <v>56</v>
      </c>
      <c r="B16" s="40">
        <v>665</v>
      </c>
    </row>
    <row r="17" spans="1:2" ht="24.75" customHeight="1">
      <c r="A17" s="41" t="s">
        <v>164</v>
      </c>
      <c r="B17" s="40">
        <v>0</v>
      </c>
    </row>
    <row r="18" spans="1:2" ht="24.75" customHeight="1">
      <c r="A18" s="41" t="s">
        <v>57</v>
      </c>
      <c r="B18" s="40">
        <v>0</v>
      </c>
    </row>
    <row r="19" spans="1:2" ht="24.75" customHeight="1">
      <c r="A19" s="444" t="s">
        <v>107</v>
      </c>
      <c r="B19" s="443">
        <f>SUM(B20:B21)</f>
        <v>1300</v>
      </c>
    </row>
    <row r="20" spans="1:2" ht="24.75" customHeight="1">
      <c r="A20" s="214" t="s">
        <v>58</v>
      </c>
      <c r="B20" s="40">
        <v>1000</v>
      </c>
    </row>
    <row r="21" spans="1:2" ht="24.75" customHeight="1">
      <c r="A21" s="214" t="s">
        <v>59</v>
      </c>
      <c r="B21" s="40">
        <v>300</v>
      </c>
    </row>
    <row r="22" spans="1:2" ht="24.75" customHeight="1">
      <c r="A22" s="444" t="s">
        <v>108</v>
      </c>
      <c r="B22" s="443">
        <f>SUM(B23:B24)</f>
        <v>0</v>
      </c>
    </row>
    <row r="23" spans="1:2" ht="24.75" customHeight="1">
      <c r="A23" s="41" t="s">
        <v>60</v>
      </c>
      <c r="B23" s="40">
        <v>0</v>
      </c>
    </row>
    <row r="24" spans="1:2" ht="24.75" customHeight="1">
      <c r="A24" s="41" t="s">
        <v>61</v>
      </c>
      <c r="B24" s="40">
        <v>0</v>
      </c>
    </row>
    <row r="25" spans="1:3" s="18" customFormat="1" ht="24.75" customHeight="1">
      <c r="A25" s="444" t="s">
        <v>109</v>
      </c>
      <c r="B25" s="443">
        <f>SUM(B26:B29)</f>
        <v>531</v>
      </c>
      <c r="C25" s="17"/>
    </row>
    <row r="26" spans="1:2" ht="24.75" customHeight="1">
      <c r="A26" s="41" t="s">
        <v>62</v>
      </c>
      <c r="B26" s="40">
        <v>0</v>
      </c>
    </row>
    <row r="27" spans="1:2" ht="24.75" customHeight="1">
      <c r="A27" s="41" t="s">
        <v>63</v>
      </c>
      <c r="B27" s="40">
        <v>0</v>
      </c>
    </row>
    <row r="28" spans="1:4" ht="24.75" customHeight="1">
      <c r="A28" s="41" t="s">
        <v>64</v>
      </c>
      <c r="B28" s="40">
        <v>531</v>
      </c>
      <c r="D28" s="321"/>
    </row>
    <row r="29" spans="1:2" ht="24.75" customHeight="1">
      <c r="A29" s="41" t="s">
        <v>65</v>
      </c>
      <c r="B29" s="40">
        <v>0</v>
      </c>
    </row>
    <row r="30" spans="1:2" ht="24.75" customHeight="1" thickBot="1">
      <c r="A30" s="445"/>
      <c r="B30" s="446"/>
    </row>
    <row r="31" spans="1:3" s="18" customFormat="1" ht="24.75" customHeight="1" thickBot="1">
      <c r="A31" s="183" t="s">
        <v>110</v>
      </c>
      <c r="B31" s="447">
        <f>+B8+B12+B15+B19+B22+B25</f>
        <v>2796</v>
      </c>
      <c r="C31" s="17"/>
    </row>
    <row r="35" ht="14.25">
      <c r="E35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595</v>
      </c>
      <c r="B1" s="769"/>
    </row>
    <row r="2" ht="14.25" customHeight="1"/>
    <row r="3" spans="1:2" ht="12.75">
      <c r="A3" s="849" t="s">
        <v>399</v>
      </c>
      <c r="B3" s="849"/>
    </row>
    <row r="4" ht="21.75" customHeight="1" thickBot="1">
      <c r="B4" s="439" t="s">
        <v>40</v>
      </c>
    </row>
    <row r="5" spans="1:2" ht="26.25" thickBot="1">
      <c r="A5" s="480" t="s">
        <v>41</v>
      </c>
      <c r="B5" s="481" t="s">
        <v>735</v>
      </c>
    </row>
    <row r="6" spans="1:7" ht="21.75" customHeight="1">
      <c r="A6" s="460" t="s">
        <v>93</v>
      </c>
      <c r="B6" s="461">
        <f>SUM(B7:B8)</f>
        <v>863</v>
      </c>
      <c r="C6" s="27"/>
      <c r="E6" s="2"/>
      <c r="F6" s="27"/>
      <c r="G6" s="2"/>
    </row>
    <row r="7" spans="1:7" s="332" customFormat="1" ht="21.75" customHeight="1">
      <c r="A7" s="156" t="s">
        <v>481</v>
      </c>
      <c r="B7" s="157">
        <v>0</v>
      </c>
      <c r="C7" s="331"/>
      <c r="D7" s="331"/>
      <c r="E7" s="331"/>
      <c r="F7" s="333"/>
      <c r="G7" s="331"/>
    </row>
    <row r="8" spans="1:7" s="332" customFormat="1" ht="21.75" customHeight="1">
      <c r="A8" s="156" t="s">
        <v>223</v>
      </c>
      <c r="B8" s="157">
        <f>486+377</f>
        <v>863</v>
      </c>
      <c r="C8" s="331"/>
      <c r="D8" s="331"/>
      <c r="E8" s="331"/>
      <c r="F8" s="333"/>
      <c r="G8" s="331"/>
    </row>
    <row r="9" spans="1:7" ht="21.75" customHeight="1">
      <c r="A9" s="144" t="s">
        <v>94</v>
      </c>
      <c r="B9" s="145">
        <f>SUM(B10:B10)</f>
        <v>0</v>
      </c>
      <c r="E9" s="2"/>
      <c r="F9" s="27"/>
      <c r="G9" s="2"/>
    </row>
    <row r="10" spans="1:7" ht="21.75" customHeight="1" thickBot="1">
      <c r="A10" s="156" t="s">
        <v>592</v>
      </c>
      <c r="B10" s="210">
        <v>0</v>
      </c>
      <c r="E10" s="2"/>
      <c r="F10" s="27"/>
      <c r="G10" s="2"/>
    </row>
    <row r="11" spans="1:7" ht="21.75" customHeight="1" thickBot="1">
      <c r="A11" s="22" t="s">
        <v>171</v>
      </c>
      <c r="B11" s="149">
        <f>SUM(B6+B9)</f>
        <v>863</v>
      </c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H10" sqref="H10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733</v>
      </c>
      <c r="B1" s="759"/>
    </row>
    <row r="2" ht="26.25" customHeight="1"/>
    <row r="3" spans="1:2" ht="12.75">
      <c r="A3" s="770" t="s">
        <v>422</v>
      </c>
      <c r="B3" s="770"/>
    </row>
    <row r="4" ht="22.5" customHeight="1" thickBot="1">
      <c r="B4" s="7" t="s">
        <v>40</v>
      </c>
    </row>
    <row r="5" spans="1:2" ht="24" customHeight="1" thickBot="1">
      <c r="A5" s="140" t="s">
        <v>41</v>
      </c>
      <c r="B5" s="152" t="s">
        <v>736</v>
      </c>
    </row>
    <row r="6" spans="1:2" ht="24" customHeight="1">
      <c r="A6" s="153" t="s">
        <v>96</v>
      </c>
      <c r="B6" s="142">
        <f>SUM(B7:B7)</f>
        <v>125</v>
      </c>
    </row>
    <row r="7" spans="1:2" ht="24" customHeight="1">
      <c r="A7" s="121" t="s">
        <v>734</v>
      </c>
      <c r="B7" s="736">
        <v>125</v>
      </c>
    </row>
    <row r="8" spans="1:2" ht="24" customHeight="1">
      <c r="A8" s="154" t="s">
        <v>97</v>
      </c>
      <c r="B8" s="310">
        <f>SUM(B9:B9)</f>
        <v>0</v>
      </c>
    </row>
    <row r="9" spans="1:6" ht="24" customHeight="1" thickBot="1">
      <c r="A9" s="122"/>
      <c r="B9" s="701"/>
      <c r="F9" s="27"/>
    </row>
    <row r="10" spans="1:2" ht="23.25" customHeight="1" thickBot="1">
      <c r="A10" s="250" t="s">
        <v>225</v>
      </c>
      <c r="B10" s="205">
        <f>SUM(B6+B8)</f>
        <v>125</v>
      </c>
    </row>
  </sheetData>
  <sheetProtection/>
  <mergeCells count="2">
    <mergeCell ref="A3:B3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4">
      <selection activeCell="I10" sqref="I10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596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400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384488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SUM('PH_működési kiadás'!D15)</f>
        <v>68480</v>
      </c>
      <c r="H9"/>
      <c r="I9"/>
      <c r="J9"/>
      <c r="K9"/>
    </row>
    <row r="10" spans="2:11" s="2" customFormat="1" ht="15">
      <c r="B10" s="94" t="s">
        <v>113</v>
      </c>
      <c r="C10" s="93">
        <f>SUM('PH_működési kiadás'!E15)</f>
        <v>18798</v>
      </c>
      <c r="H10"/>
      <c r="I10"/>
      <c r="J10"/>
      <c r="K10"/>
    </row>
    <row r="11" spans="2:11" s="2" customFormat="1" ht="15">
      <c r="B11" s="94" t="s">
        <v>114</v>
      </c>
      <c r="C11" s="93">
        <v>37847</v>
      </c>
      <c r="H11"/>
      <c r="I11"/>
      <c r="J11"/>
      <c r="K11"/>
    </row>
    <row r="12" spans="2:11" s="2" customFormat="1" ht="15">
      <c r="B12" s="94" t="s">
        <v>115</v>
      </c>
      <c r="C12" s="93">
        <f>SUM(C13:C15)</f>
        <v>259363</v>
      </c>
      <c r="D12" s="27"/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f>SUM('PH_Pe. átad.'!B9)</f>
        <v>466</v>
      </c>
    </row>
    <row r="15" spans="2:11" s="2" customFormat="1" ht="15">
      <c r="B15" s="94" t="s">
        <v>254</v>
      </c>
      <c r="C15" s="93">
        <f>SUM('PH_Szoc.alap '!E18)</f>
        <v>258897</v>
      </c>
      <c r="H15"/>
      <c r="I15"/>
      <c r="J15"/>
      <c r="K15"/>
    </row>
    <row r="16" spans="2:11" s="2" customFormat="1" ht="15.75">
      <c r="B16" s="101" t="s">
        <v>118</v>
      </c>
      <c r="C16" s="102">
        <f>SUM(C17+C18+C19)</f>
        <v>0</v>
      </c>
      <c r="H16"/>
      <c r="I16"/>
      <c r="J16"/>
      <c r="K16"/>
    </row>
    <row r="17" spans="2:11" s="2" customFormat="1" ht="15">
      <c r="B17" s="94" t="s">
        <v>119</v>
      </c>
      <c r="C17" s="93">
        <v>0</v>
      </c>
      <c r="H17"/>
      <c r="I17"/>
      <c r="J17"/>
      <c r="K17"/>
    </row>
    <row r="18" spans="2:11" s="2" customFormat="1" ht="15">
      <c r="B18" s="94" t="s">
        <v>120</v>
      </c>
      <c r="C18" s="93">
        <v>0</v>
      </c>
      <c r="H18"/>
      <c r="I18"/>
      <c r="J18"/>
      <c r="K18"/>
    </row>
    <row r="19" spans="2:3" ht="15">
      <c r="B19" s="94" t="s">
        <v>121</v>
      </c>
      <c r="C19" s="93">
        <f>SUM(C20+C21)</f>
        <v>0</v>
      </c>
    </row>
    <row r="20" spans="2:3" ht="15">
      <c r="B20" s="94" t="s">
        <v>122</v>
      </c>
      <c r="C20" s="93">
        <v>0</v>
      </c>
    </row>
    <row r="21" spans="2:3" ht="15">
      <c r="B21" s="94" t="s">
        <v>123</v>
      </c>
      <c r="C21" s="93">
        <f>SUM('PH_Pe. átad.'!B11)</f>
        <v>0</v>
      </c>
    </row>
    <row r="22" spans="2:4" ht="16.5" thickBot="1">
      <c r="B22" s="101" t="s">
        <v>280</v>
      </c>
      <c r="C22" s="102">
        <v>0</v>
      </c>
      <c r="D22" s="17"/>
    </row>
    <row r="23" spans="2:4" ht="18.75" thickBot="1">
      <c r="B23" s="95" t="s">
        <v>271</v>
      </c>
      <c r="C23" s="96">
        <f>SUM(C8+C16+C22)</f>
        <v>384488</v>
      </c>
      <c r="D23" s="27"/>
    </row>
    <row r="24" spans="8:11" s="2" customFormat="1" ht="12.75">
      <c r="H24"/>
      <c r="I24"/>
      <c r="J24"/>
      <c r="K24"/>
    </row>
    <row r="25" spans="3:11" s="2" customFormat="1" ht="12.75">
      <c r="C25" s="97"/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H13" sqref="H13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25390625" style="27" customWidth="1"/>
    <col min="8" max="8" width="12.25390625" style="1" bestFit="1" customWidth="1"/>
    <col min="9" max="9" width="10.625" style="2" customWidth="1"/>
    <col min="10" max="10" width="9.625" style="2" bestFit="1" customWidth="1"/>
    <col min="11" max="11" width="9.125" style="2" customWidth="1"/>
  </cols>
  <sheetData>
    <row r="1" spans="1:7" ht="18">
      <c r="A1" s="755" t="s">
        <v>597</v>
      </c>
      <c r="B1" s="755"/>
      <c r="C1" s="755"/>
      <c r="D1" s="755"/>
      <c r="E1" s="755"/>
      <c r="F1" s="755"/>
      <c r="G1" s="279"/>
    </row>
    <row r="2" spans="1:7" ht="18">
      <c r="A2" s="3"/>
      <c r="B2" s="3"/>
      <c r="C2" s="4"/>
      <c r="D2" s="4"/>
      <c r="E2" s="4"/>
      <c r="F2" s="4"/>
      <c r="G2" s="4"/>
    </row>
    <row r="3" spans="1:7" ht="18">
      <c r="A3" s="3"/>
      <c r="B3" s="3"/>
      <c r="C3" s="4"/>
      <c r="D3" s="4"/>
      <c r="E3" s="756" t="s">
        <v>598</v>
      </c>
      <c r="F3" s="757"/>
      <c r="G3" s="297"/>
    </row>
    <row r="5" spans="3:7" ht="18.75" thickBot="1">
      <c r="C5" s="419"/>
      <c r="D5" s="419"/>
      <c r="E5" s="419"/>
      <c r="F5" s="439" t="s">
        <v>40</v>
      </c>
      <c r="G5" s="7"/>
    </row>
    <row r="6" spans="1:7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  <c r="G6" s="299"/>
    </row>
    <row r="7" spans="1:9" ht="15" customHeight="1" thickBot="1">
      <c r="A7" s="11"/>
      <c r="B7" s="12"/>
      <c r="C7" s="13"/>
      <c r="D7" s="14"/>
      <c r="E7" s="14"/>
      <c r="F7" s="15"/>
      <c r="G7" s="300"/>
      <c r="I7" s="16"/>
    </row>
    <row r="8" spans="1:11" s="365" customFormat="1" ht="18.75" customHeight="1" thickBot="1">
      <c r="A8" s="22" t="s">
        <v>417</v>
      </c>
      <c r="B8" s="106"/>
      <c r="C8" s="107">
        <f aca="true" t="shared" si="0" ref="C8:C13">SUM(D8:F8)</f>
        <v>1000</v>
      </c>
      <c r="D8" s="111">
        <v>0</v>
      </c>
      <c r="E8" s="111">
        <v>0</v>
      </c>
      <c r="F8" s="112">
        <v>1000</v>
      </c>
      <c r="G8" s="368"/>
      <c r="H8" s="363"/>
      <c r="I8" s="364"/>
      <c r="J8" s="364"/>
      <c r="K8" s="364"/>
    </row>
    <row r="9" spans="1:11" s="365" customFormat="1" ht="18.75" customHeight="1" thickBot="1">
      <c r="A9" s="22" t="s">
        <v>413</v>
      </c>
      <c r="B9" s="106"/>
      <c r="C9" s="107">
        <f t="shared" si="0"/>
        <v>218</v>
      </c>
      <c r="D9" s="111">
        <f>167+5</f>
        <v>172</v>
      </c>
      <c r="E9" s="111">
        <f>45+1</f>
        <v>46</v>
      </c>
      <c r="F9" s="112">
        <v>0</v>
      </c>
      <c r="G9" s="357"/>
      <c r="H9" s="363"/>
      <c r="I9" s="364"/>
      <c r="J9" s="364"/>
      <c r="K9" s="364"/>
    </row>
    <row r="10" spans="1:11" s="332" customFormat="1" ht="18.75" customHeight="1" thickBot="1">
      <c r="A10" s="20" t="s">
        <v>173</v>
      </c>
      <c r="B10" s="106">
        <v>22</v>
      </c>
      <c r="C10" s="107">
        <f t="shared" si="0"/>
        <v>104227</v>
      </c>
      <c r="D10" s="111">
        <f>55526+448+627</f>
        <v>56601</v>
      </c>
      <c r="E10" s="111">
        <f>16059+121+169-609</f>
        <v>15740</v>
      </c>
      <c r="F10" s="112">
        <v>31886</v>
      </c>
      <c r="G10" s="357"/>
      <c r="H10" s="362"/>
      <c r="I10" s="331"/>
      <c r="J10" s="363"/>
      <c r="K10" s="331"/>
    </row>
    <row r="11" spans="1:11" s="332" customFormat="1" ht="18.75" customHeight="1" thickBot="1">
      <c r="A11" s="20" t="s">
        <v>174</v>
      </c>
      <c r="B11" s="106">
        <v>2</v>
      </c>
      <c r="C11" s="107">
        <f t="shared" si="0"/>
        <v>8743</v>
      </c>
      <c r="D11" s="111">
        <f>4605+140</f>
        <v>4745</v>
      </c>
      <c r="E11" s="111">
        <f>1247+38-160</f>
        <v>1125</v>
      </c>
      <c r="F11" s="112">
        <f>2713+160</f>
        <v>2873</v>
      </c>
      <c r="G11" s="357"/>
      <c r="H11" s="362"/>
      <c r="I11" s="357"/>
      <c r="J11" s="357"/>
      <c r="K11" s="331"/>
    </row>
    <row r="12" spans="1:12" s="331" customFormat="1" ht="18.75" customHeight="1" thickBot="1">
      <c r="A12" s="80" t="s">
        <v>176</v>
      </c>
      <c r="B12" s="106">
        <v>3</v>
      </c>
      <c r="C12" s="107">
        <f t="shared" si="0"/>
        <v>10837</v>
      </c>
      <c r="D12" s="111">
        <v>6962</v>
      </c>
      <c r="E12" s="111">
        <v>1887</v>
      </c>
      <c r="F12" s="112">
        <v>1988</v>
      </c>
      <c r="G12" s="357"/>
      <c r="H12" s="362"/>
      <c r="I12" s="357"/>
      <c r="J12" s="357"/>
      <c r="L12" s="332"/>
    </row>
    <row r="13" spans="1:12" s="331" customFormat="1" ht="18.75" customHeight="1" thickBot="1">
      <c r="A13" s="22" t="s">
        <v>236</v>
      </c>
      <c r="B13" s="106"/>
      <c r="C13" s="107">
        <f t="shared" si="0"/>
        <v>100</v>
      </c>
      <c r="D13" s="111">
        <v>0</v>
      </c>
      <c r="E13" s="111">
        <v>0</v>
      </c>
      <c r="F13" s="112">
        <v>100</v>
      </c>
      <c r="G13" s="357"/>
      <c r="H13" s="362"/>
      <c r="I13" s="333"/>
      <c r="J13" s="333"/>
      <c r="L13" s="332"/>
    </row>
    <row r="14" spans="1:12" s="2" customFormat="1" ht="18.75" customHeight="1" thickBot="1">
      <c r="A14" s="466"/>
      <c r="B14" s="241"/>
      <c r="C14" s="19"/>
      <c r="D14" s="467"/>
      <c r="E14" s="467"/>
      <c r="F14" s="468"/>
      <c r="G14" s="301"/>
      <c r="H14" s="1"/>
      <c r="L14"/>
    </row>
    <row r="15" spans="1:10" ht="16.5" thickBot="1">
      <c r="A15" s="81" t="s">
        <v>44</v>
      </c>
      <c r="B15" s="108">
        <f>SUM(B8:B14)</f>
        <v>27</v>
      </c>
      <c r="C15" s="109">
        <f>SUM(C8:C14)</f>
        <v>125125</v>
      </c>
      <c r="D15" s="109">
        <f>SUM(D8:D14)</f>
        <v>68480</v>
      </c>
      <c r="E15" s="109">
        <f>SUM(E8:E14)</f>
        <v>18798</v>
      </c>
      <c r="F15" s="75">
        <f>SUM(F8:F14)</f>
        <v>37847</v>
      </c>
      <c r="G15" s="184"/>
      <c r="H15" s="184"/>
      <c r="I15" s="184"/>
      <c r="J15" s="18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6.125" style="2" bestFit="1" customWidth="1"/>
    <col min="2" max="2" width="12.625" style="27" customWidth="1"/>
    <col min="3" max="3" width="13.75390625" style="2" bestFit="1" customWidth="1"/>
  </cols>
  <sheetData>
    <row r="1" spans="1:2" ht="32.25" customHeight="1">
      <c r="A1" s="771" t="s">
        <v>531</v>
      </c>
      <c r="B1" s="772"/>
    </row>
    <row r="2" spans="1:3" ht="26.25" customHeight="1">
      <c r="A2" s="773" t="s">
        <v>365</v>
      </c>
      <c r="B2" s="773"/>
      <c r="C2" s="151"/>
    </row>
    <row r="3" spans="1:3" ht="13.5" thickBot="1">
      <c r="A3" s="126"/>
      <c r="B3" s="161" t="s">
        <v>40</v>
      </c>
      <c r="C3" s="90"/>
    </row>
    <row r="4" spans="1:2" ht="28.5" customHeight="1" thickBot="1">
      <c r="A4" s="416" t="s">
        <v>41</v>
      </c>
      <c r="B4" s="148" t="s">
        <v>526</v>
      </c>
    </row>
    <row r="5" spans="1:3" ht="23.25" customHeight="1">
      <c r="A5" s="216" t="s">
        <v>473</v>
      </c>
      <c r="B5" s="169">
        <f>SUM('ÖNK_költségv.tám.'!B5)</f>
        <v>386861</v>
      </c>
      <c r="C5" s="159"/>
    </row>
    <row r="6" spans="1:3" ht="23.25" customHeight="1">
      <c r="A6" s="156" t="s">
        <v>532</v>
      </c>
      <c r="B6" s="169">
        <f>SUM('ÖNK_költségv.tám.'!B10)</f>
        <v>229733</v>
      </c>
      <c r="C6" s="159"/>
    </row>
    <row r="7" spans="1:3" ht="23.25" customHeight="1">
      <c r="A7" s="156" t="s">
        <v>208</v>
      </c>
      <c r="B7" s="169">
        <f>SUM('ÖNK_költségv.tám.'!B12)</f>
        <v>16654</v>
      </c>
      <c r="C7" s="159"/>
    </row>
    <row r="8" spans="1:3" ht="23.25" customHeight="1">
      <c r="A8" s="156" t="s">
        <v>570</v>
      </c>
      <c r="B8" s="169">
        <f>SUM('ÖNK_költségv.tám.'!B22)</f>
        <v>94789</v>
      </c>
      <c r="C8" s="159"/>
    </row>
    <row r="9" spans="1:3" ht="23.25" customHeight="1">
      <c r="A9" s="156" t="s">
        <v>209</v>
      </c>
      <c r="B9" s="169">
        <f>SUM('ÖNK_költségv.tám.'!B25)</f>
        <v>0</v>
      </c>
      <c r="C9" s="159"/>
    </row>
    <row r="10" spans="1:3" ht="23.25" customHeight="1">
      <c r="A10" s="156" t="s">
        <v>210</v>
      </c>
      <c r="B10" s="169">
        <f>SUM('ÖNK_költségv.tám.'!B26)</f>
        <v>268711</v>
      </c>
      <c r="C10" s="159"/>
    </row>
    <row r="11" spans="1:3" s="18" customFormat="1" ht="22.5" customHeight="1" thickBot="1">
      <c r="A11" s="217" t="s">
        <v>205</v>
      </c>
      <c r="B11" s="169">
        <f>SUM('ÖNK_költségv.tám.'!B32)</f>
        <v>0</v>
      </c>
      <c r="C11" s="160"/>
    </row>
    <row r="12" spans="1:3" ht="23.25" customHeight="1" thickBot="1">
      <c r="A12" s="146" t="s">
        <v>207</v>
      </c>
      <c r="B12" s="147">
        <f>SUM(B5+B6+B7+B8+B9+B10+B11)</f>
        <v>996748</v>
      </c>
      <c r="C12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32.25" customHeight="1">
      <c r="A3" s="769" t="s">
        <v>599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401</v>
      </c>
      <c r="B5" s="851"/>
      <c r="C5" s="180"/>
    </row>
    <row r="6" spans="2:3" ht="13.5" thickBot="1">
      <c r="B6" s="439" t="s">
        <v>40</v>
      </c>
      <c r="C6" s="6"/>
    </row>
    <row r="7" spans="1:7" ht="19.5" customHeight="1">
      <c r="A7" s="178" t="s">
        <v>41</v>
      </c>
      <c r="B7" s="372" t="s">
        <v>73</v>
      </c>
      <c r="C7" s="6"/>
      <c r="F7" s="27"/>
      <c r="G7" s="2"/>
    </row>
    <row r="8" spans="1:7" s="332" customFormat="1" ht="19.5" customHeight="1" thickBot="1">
      <c r="A8" s="156" t="s">
        <v>269</v>
      </c>
      <c r="B8" s="157">
        <f>486-20</f>
        <v>466</v>
      </c>
      <c r="C8" s="357"/>
      <c r="D8" s="333"/>
      <c r="E8" s="333"/>
      <c r="F8" s="333"/>
      <c r="G8" s="331"/>
    </row>
    <row r="9" spans="1:7" ht="19.5" customHeight="1" thickBot="1">
      <c r="A9" s="22" t="s">
        <v>249</v>
      </c>
      <c r="B9" s="149">
        <f>SUM(B8:B8)</f>
        <v>466</v>
      </c>
      <c r="F9" s="27"/>
      <c r="G9" s="2"/>
    </row>
    <row r="10" spans="1:7" s="63" customFormat="1" ht="19.5" customHeight="1" thickBot="1">
      <c r="A10" s="466"/>
      <c r="B10" s="249">
        <v>0</v>
      </c>
      <c r="C10" s="27"/>
      <c r="D10" s="27"/>
      <c r="E10" s="27"/>
      <c r="F10" s="27"/>
      <c r="G10" s="27"/>
    </row>
    <row r="11" spans="1:7" s="63" customFormat="1" ht="19.5" customHeight="1" thickBot="1">
      <c r="A11" s="22" t="s">
        <v>251</v>
      </c>
      <c r="B11" s="149">
        <f>SUM(B10:B10)</f>
        <v>0</v>
      </c>
      <c r="C11" s="27"/>
      <c r="D11" s="27"/>
      <c r="E11" s="27"/>
      <c r="F11" s="27"/>
      <c r="G11" s="27"/>
    </row>
    <row r="12" spans="1:5" s="63" customFormat="1" ht="16.5" thickBot="1">
      <c r="A12" s="183" t="s">
        <v>253</v>
      </c>
      <c r="B12" s="75">
        <f>SUM(B9+B11)</f>
        <v>466</v>
      </c>
      <c r="C12" s="27"/>
      <c r="D12" s="27"/>
      <c r="E12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spans="1:6" ht="15.75">
      <c r="A2" s="755" t="s">
        <v>600</v>
      </c>
      <c r="B2" s="755"/>
      <c r="C2" s="755"/>
      <c r="D2" s="755"/>
      <c r="E2" s="755"/>
      <c r="F2" s="189"/>
    </row>
    <row r="3" spans="1:6" ht="15.75">
      <c r="A3" s="279"/>
      <c r="B3" s="279"/>
      <c r="C3" s="279"/>
      <c r="D3" s="279"/>
      <c r="E3" s="279"/>
      <c r="F3" s="189"/>
    </row>
    <row r="4" ht="12.75">
      <c r="E4" s="7" t="s">
        <v>751</v>
      </c>
    </row>
    <row r="5" ht="12.75">
      <c r="E5" s="439"/>
    </row>
    <row r="6" spans="3:6" ht="13.5" thickBot="1">
      <c r="C6" s="419"/>
      <c r="D6" s="419"/>
      <c r="E6" s="439" t="s">
        <v>40</v>
      </c>
      <c r="F6" s="7"/>
    </row>
    <row r="7" spans="1:16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"/>
      <c r="I7" s="27"/>
      <c r="J7" s="63"/>
      <c r="K7" s="63"/>
      <c r="L7" s="63"/>
      <c r="M7" s="63"/>
      <c r="N7" s="63"/>
      <c r="O7" s="63"/>
      <c r="P7" s="63"/>
    </row>
    <row r="8" spans="1:16" ht="24" customHeight="1">
      <c r="A8" s="747"/>
      <c r="B8" s="749"/>
      <c r="C8" s="751"/>
      <c r="D8" s="751"/>
      <c r="E8" s="753"/>
      <c r="G8" s="27"/>
      <c r="I8" s="27"/>
      <c r="J8" s="63"/>
      <c r="K8" s="63"/>
      <c r="L8" s="63"/>
      <c r="M8" s="63"/>
      <c r="N8" s="63"/>
      <c r="O8" s="63"/>
      <c r="P8" s="63"/>
    </row>
    <row r="9" spans="1:16" s="332" customFormat="1" ht="12.75">
      <c r="A9" s="156" t="s">
        <v>479</v>
      </c>
      <c r="B9" s="469">
        <v>35</v>
      </c>
      <c r="C9" s="470">
        <f>SUM(E9-D9)</f>
        <v>10773</v>
      </c>
      <c r="D9" s="471">
        <v>0</v>
      </c>
      <c r="E9" s="157">
        <v>10773</v>
      </c>
      <c r="F9" s="331"/>
      <c r="G9" s="331"/>
      <c r="H9" s="358"/>
      <c r="I9" s="333"/>
      <c r="J9" s="333"/>
      <c r="K9" s="359"/>
      <c r="L9" s="359"/>
      <c r="M9" s="359"/>
      <c r="N9" s="359"/>
      <c r="O9" s="359"/>
      <c r="P9" s="359"/>
    </row>
    <row r="10" spans="1:16" s="332" customFormat="1" ht="12.75">
      <c r="A10" s="156" t="s">
        <v>258</v>
      </c>
      <c r="B10" s="469">
        <v>550</v>
      </c>
      <c r="C10" s="470">
        <f aca="true" t="shared" si="0" ref="C10:C17">SUM(E10-D10)</f>
        <v>188100</v>
      </c>
      <c r="D10" s="471">
        <v>0</v>
      </c>
      <c r="E10" s="157">
        <v>188100</v>
      </c>
      <c r="F10" s="331"/>
      <c r="G10" s="331"/>
      <c r="H10" s="358"/>
      <c r="I10" s="333"/>
      <c r="J10" s="333"/>
      <c r="K10" s="359"/>
      <c r="L10" s="359"/>
      <c r="M10" s="359"/>
      <c r="N10" s="359"/>
      <c r="O10" s="359"/>
      <c r="P10" s="359"/>
    </row>
    <row r="11" spans="1:16" s="332" customFormat="1" ht="12.75">
      <c r="A11" s="156" t="s">
        <v>601</v>
      </c>
      <c r="B11" s="469">
        <v>6</v>
      </c>
      <c r="C11" s="470">
        <f t="shared" si="0"/>
        <v>158</v>
      </c>
      <c r="D11" s="471">
        <v>0</v>
      </c>
      <c r="E11" s="157">
        <v>158</v>
      </c>
      <c r="F11" s="331"/>
      <c r="G11" s="331"/>
      <c r="H11" s="358"/>
      <c r="I11" s="333"/>
      <c r="J11" s="333"/>
      <c r="K11" s="359"/>
      <c r="L11" s="359"/>
      <c r="M11" s="359"/>
      <c r="N11" s="359"/>
      <c r="O11" s="359"/>
      <c r="P11" s="359"/>
    </row>
    <row r="12" spans="1:16" s="332" customFormat="1" ht="12.75">
      <c r="A12" s="156" t="s">
        <v>259</v>
      </c>
      <c r="B12" s="469">
        <v>850</v>
      </c>
      <c r="C12" s="470">
        <f t="shared" si="0"/>
        <v>51000</v>
      </c>
      <c r="D12" s="471">
        <v>0</v>
      </c>
      <c r="E12" s="157">
        <v>51000</v>
      </c>
      <c r="F12" s="357"/>
      <c r="G12" s="331"/>
      <c r="H12" s="358"/>
      <c r="I12" s="333"/>
      <c r="J12" s="333"/>
      <c r="K12" s="359"/>
      <c r="L12" s="359"/>
      <c r="M12" s="359"/>
      <c r="N12" s="359"/>
      <c r="O12" s="359"/>
      <c r="P12" s="359"/>
    </row>
    <row r="13" spans="1:16" s="332" customFormat="1" ht="12.75">
      <c r="A13" s="156" t="s">
        <v>260</v>
      </c>
      <c r="B13" s="469">
        <v>87</v>
      </c>
      <c r="C13" s="470">
        <f t="shared" si="0"/>
        <v>5806</v>
      </c>
      <c r="D13" s="471">
        <v>0</v>
      </c>
      <c r="E13" s="157">
        <f>2845+2961</f>
        <v>5806</v>
      </c>
      <c r="F13" s="331"/>
      <c r="G13" s="331"/>
      <c r="H13" s="358"/>
      <c r="I13" s="333"/>
      <c r="J13" s="360"/>
      <c r="K13" s="361"/>
      <c r="L13" s="359"/>
      <c r="M13" s="361"/>
      <c r="N13" s="359"/>
      <c r="O13" s="359"/>
      <c r="P13" s="359"/>
    </row>
    <row r="14" spans="1:16" s="332" customFormat="1" ht="12.75" customHeight="1">
      <c r="A14" s="455" t="s">
        <v>480</v>
      </c>
      <c r="B14" s="469">
        <v>0</v>
      </c>
      <c r="C14" s="470">
        <f>SUM(E14-D14)</f>
        <v>0</v>
      </c>
      <c r="D14" s="471">
        <v>0</v>
      </c>
      <c r="E14" s="157">
        <v>0</v>
      </c>
      <c r="F14" s="331"/>
      <c r="G14" s="331"/>
      <c r="H14" s="358"/>
      <c r="I14" s="333"/>
      <c r="J14" s="333"/>
      <c r="K14" s="359"/>
      <c r="L14" s="359"/>
      <c r="M14" s="359"/>
      <c r="N14" s="359"/>
      <c r="O14" s="359"/>
      <c r="P14" s="359"/>
    </row>
    <row r="15" spans="1:16" s="332" customFormat="1" ht="12.75">
      <c r="A15" s="455" t="s">
        <v>266</v>
      </c>
      <c r="B15" s="469">
        <v>33</v>
      </c>
      <c r="C15" s="470">
        <f t="shared" si="0"/>
        <v>660</v>
      </c>
      <c r="D15" s="471">
        <v>0</v>
      </c>
      <c r="E15" s="157">
        <v>660</v>
      </c>
      <c r="F15" s="331"/>
      <c r="G15" s="333"/>
      <c r="H15" s="358"/>
      <c r="I15" s="333"/>
      <c r="J15" s="333"/>
      <c r="K15" s="359"/>
      <c r="L15" s="359"/>
      <c r="M15" s="359"/>
      <c r="N15" s="359"/>
      <c r="O15" s="359"/>
      <c r="P15" s="359"/>
    </row>
    <row r="16" spans="1:16" s="332" customFormat="1" ht="12.75">
      <c r="A16" s="455" t="s">
        <v>267</v>
      </c>
      <c r="B16" s="469">
        <v>90</v>
      </c>
      <c r="C16" s="470">
        <f t="shared" si="0"/>
        <v>1800</v>
      </c>
      <c r="D16" s="471">
        <v>0</v>
      </c>
      <c r="E16" s="157">
        <v>1800</v>
      </c>
      <c r="F16" s="331"/>
      <c r="G16" s="331"/>
      <c r="H16" s="358"/>
      <c r="I16" s="333"/>
      <c r="J16" s="333"/>
      <c r="K16" s="359"/>
      <c r="L16" s="359"/>
      <c r="M16" s="359"/>
      <c r="N16" s="359"/>
      <c r="O16" s="359"/>
      <c r="P16" s="359"/>
    </row>
    <row r="17" spans="1:16" s="332" customFormat="1" ht="13.5" thickBot="1">
      <c r="A17" s="156" t="s">
        <v>482</v>
      </c>
      <c r="B17" s="469">
        <v>25</v>
      </c>
      <c r="C17" s="470">
        <f t="shared" si="0"/>
        <v>600</v>
      </c>
      <c r="D17" s="471">
        <v>0</v>
      </c>
      <c r="E17" s="157">
        <v>600</v>
      </c>
      <c r="F17" s="331"/>
      <c r="G17" s="331"/>
      <c r="H17" s="358"/>
      <c r="I17" s="333"/>
      <c r="J17" s="333"/>
      <c r="K17" s="359"/>
      <c r="L17" s="359"/>
      <c r="M17" s="359"/>
      <c r="N17" s="359"/>
      <c r="O17" s="359"/>
      <c r="P17" s="359"/>
    </row>
    <row r="18" spans="1:10" ht="18.75" customHeight="1" thickBot="1">
      <c r="A18" s="22" t="s">
        <v>272</v>
      </c>
      <c r="B18" s="193"/>
      <c r="C18" s="107">
        <f>SUM(C9:C17)</f>
        <v>258897</v>
      </c>
      <c r="D18" s="107">
        <f>SUM(D9:D17)</f>
        <v>0</v>
      </c>
      <c r="E18" s="149">
        <f>SUM(E9:E17)</f>
        <v>258897</v>
      </c>
      <c r="F18" s="2"/>
      <c r="I18" s="2"/>
      <c r="J18" s="2"/>
    </row>
    <row r="19" spans="8:10" ht="24" customHeight="1">
      <c r="H19" s="27"/>
      <c r="I19" s="2"/>
      <c r="J19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I15" sqref="I1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SUM('PH_Összes bevétel'!B17)</f>
        <v>0</v>
      </c>
      <c r="E4" s="119" t="s">
        <v>119</v>
      </c>
      <c r="F4" s="120">
        <f>SUM('PH_Összes kiadás'!C17)</f>
        <v>0</v>
      </c>
    </row>
    <row r="5" spans="2:11" ht="15" customHeight="1">
      <c r="B5" s="86" t="s">
        <v>94</v>
      </c>
      <c r="C5" s="72">
        <f>SUM('PH_Összes bevétel'!B20)</f>
        <v>0</v>
      </c>
      <c r="E5" s="121" t="s">
        <v>120</v>
      </c>
      <c r="F5" s="72">
        <f>SUM('PH_Összes kiadás'!C18)</f>
        <v>0</v>
      </c>
      <c r="K5" s="63"/>
    </row>
    <row r="6" spans="2:6" ht="15" customHeight="1">
      <c r="B6" s="86" t="s">
        <v>127</v>
      </c>
      <c r="C6" s="72">
        <f>SUM('PH_Összes bevétel'!B23)</f>
        <v>0</v>
      </c>
      <c r="E6" s="121" t="s">
        <v>121</v>
      </c>
      <c r="F6" s="72">
        <f>SUM('PH_Összes kiadás'!C19)</f>
        <v>0</v>
      </c>
    </row>
    <row r="7" spans="2:6" ht="15" customHeight="1">
      <c r="B7" s="55" t="s">
        <v>128</v>
      </c>
      <c r="C7" s="72">
        <f>SUM('PH_Összes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SUM('PH_Összes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SUM('PH_Összes bevétel'!B8)</f>
        <v>2796</v>
      </c>
      <c r="E12" s="117" t="s">
        <v>112</v>
      </c>
      <c r="F12" s="118">
        <f>SUM('PH_Összes kiadás'!C9)</f>
        <v>68480</v>
      </c>
      <c r="K12" s="63"/>
    </row>
    <row r="13" spans="2:6" ht="15" customHeight="1">
      <c r="B13" s="86" t="s">
        <v>93</v>
      </c>
      <c r="C13" s="72">
        <f>SUM('PH_Összes bevétel'!B19)</f>
        <v>863</v>
      </c>
      <c r="E13" s="121" t="s">
        <v>113</v>
      </c>
      <c r="F13" s="72">
        <f>SUM('PH_Összes kiadás'!C10)</f>
        <v>18798</v>
      </c>
    </row>
    <row r="14" spans="2:8" ht="15" customHeight="1">
      <c r="B14" s="86" t="s">
        <v>96</v>
      </c>
      <c r="C14" s="72">
        <f>SUM('PH_Összes bevétel'!B22)</f>
        <v>125</v>
      </c>
      <c r="E14" s="121" t="s">
        <v>114</v>
      </c>
      <c r="F14" s="72">
        <f>SUM('PH_Összes kiadás'!C11)</f>
        <v>37847</v>
      </c>
      <c r="H14" s="27"/>
    </row>
    <row r="15" spans="2:6" ht="15" customHeight="1">
      <c r="B15" s="55" t="s">
        <v>131</v>
      </c>
      <c r="C15" s="72">
        <f>SUM('PH_Összes bevétel'!B27)</f>
        <v>5983</v>
      </c>
      <c r="E15" s="121" t="s">
        <v>115</v>
      </c>
      <c r="F15" s="72">
        <f>SUM('PH_Összes kiadás'!C12)</f>
        <v>259363</v>
      </c>
    </row>
    <row r="16" spans="1:9" s="18" customFormat="1" ht="15" customHeight="1">
      <c r="A16" s="17"/>
      <c r="B16" s="121" t="s">
        <v>277</v>
      </c>
      <c r="C16" s="72">
        <f>SUM('PH_Összes bevétel'!B30)</f>
        <v>0</v>
      </c>
      <c r="D16" s="17"/>
      <c r="E16" s="122" t="s">
        <v>280</v>
      </c>
      <c r="F16" s="73">
        <f>SUM('PH_Összes kiadás'!C22)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SUM('PH_Összes bevétel'!B33)</f>
        <v>374721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384488</v>
      </c>
      <c r="E19" s="115" t="s">
        <v>80</v>
      </c>
      <c r="F19" s="125">
        <f>SUM(F12:F18)</f>
        <v>384488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384488</v>
      </c>
      <c r="E21" s="115" t="s">
        <v>130</v>
      </c>
      <c r="F21" s="125">
        <f>+F9+F19</f>
        <v>384488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1" bottom="0.68" header="0.62" footer="0.5118110236220472"/>
  <pageSetup horizontalDpi="600" verticalDpi="600" orientation="landscape" paperSize="9" scale="91" r:id="rId1"/>
  <headerFooter alignWithMargins="0">
    <oddHeader>&amp;C&amp;"Arial CE,Félkövér"&amp;14 Ibrány Város Polgármesteri Hivatala 2013. évi felhalmozási és működési mérlege&amp;R49. melléklet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zoomScalePageLayoutView="0" workbookViewId="0" topLeftCell="C4">
      <selection activeCell="Q26" sqref="Q26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402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7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</row>
    <row r="8" spans="2:17" s="429" customFormat="1" ht="12.75">
      <c r="B8" s="522" t="s">
        <v>81</v>
      </c>
      <c r="C8" s="523">
        <f>SUM('PH_Összes bevétel'!B7)</f>
        <v>2796</v>
      </c>
      <c r="D8" s="524">
        <f>651+47</f>
        <v>698</v>
      </c>
      <c r="E8" s="525">
        <f>650+46</f>
        <v>696</v>
      </c>
      <c r="F8" s="525">
        <f>651+47</f>
        <v>698</v>
      </c>
      <c r="G8" s="525">
        <v>244</v>
      </c>
      <c r="H8" s="525">
        <v>243</v>
      </c>
      <c r="I8" s="525">
        <v>244</v>
      </c>
      <c r="J8" s="565">
        <v>167</v>
      </c>
      <c r="K8" s="565">
        <v>0</v>
      </c>
      <c r="L8" s="565">
        <v>0</v>
      </c>
      <c r="M8" s="565">
        <v>0</v>
      </c>
      <c r="N8" s="565">
        <v>0</v>
      </c>
      <c r="O8" s="740">
        <v>0</v>
      </c>
      <c r="P8" s="521"/>
      <c r="Q8" s="521"/>
    </row>
    <row r="9" spans="2:17" s="429" customFormat="1" ht="12.75">
      <c r="B9" s="527" t="s">
        <v>89</v>
      </c>
      <c r="C9" s="512">
        <f>SUM('PH_Összes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67">
        <v>0</v>
      </c>
      <c r="K9" s="567">
        <v>0</v>
      </c>
      <c r="L9" s="567">
        <v>0</v>
      </c>
      <c r="M9" s="567">
        <v>0</v>
      </c>
      <c r="N9" s="567">
        <v>0</v>
      </c>
      <c r="O9" s="568">
        <f aca="true" t="shared" si="0" ref="O9:O14">+C9-D9-E9-F9-G9-H9-I9-J9-K9-L9-M9-N9</f>
        <v>0</v>
      </c>
      <c r="P9" s="521"/>
      <c r="Q9" s="521"/>
    </row>
    <row r="10" spans="2:17" s="429" customFormat="1" ht="12.75">
      <c r="B10" s="527" t="s">
        <v>90</v>
      </c>
      <c r="C10" s="512">
        <f>SUM('PH_Összes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67">
        <v>0</v>
      </c>
      <c r="K10" s="567">
        <v>0</v>
      </c>
      <c r="L10" s="567">
        <v>0</v>
      </c>
      <c r="M10" s="567">
        <v>0</v>
      </c>
      <c r="N10" s="567">
        <v>0</v>
      </c>
      <c r="O10" s="568">
        <f t="shared" si="0"/>
        <v>0</v>
      </c>
      <c r="P10" s="521"/>
      <c r="Q10" s="521"/>
    </row>
    <row r="11" spans="2:17" s="429" customFormat="1" ht="12.75">
      <c r="B11" s="527" t="s">
        <v>92</v>
      </c>
      <c r="C11" s="512">
        <f>SUM('PH_Összes bevétel'!B18)</f>
        <v>863</v>
      </c>
      <c r="D11" s="528">
        <v>0</v>
      </c>
      <c r="E11" s="529">
        <v>0</v>
      </c>
      <c r="F11" s="529">
        <v>0</v>
      </c>
      <c r="G11" s="529">
        <v>288</v>
      </c>
      <c r="H11" s="529">
        <v>287</v>
      </c>
      <c r="I11" s="529">
        <v>288</v>
      </c>
      <c r="J11" s="567">
        <v>0</v>
      </c>
      <c r="K11" s="567">
        <v>0</v>
      </c>
      <c r="L11" s="567">
        <v>0</v>
      </c>
      <c r="M11" s="567">
        <v>0</v>
      </c>
      <c r="N11" s="567">
        <v>0</v>
      </c>
      <c r="O11" s="568">
        <f t="shared" si="0"/>
        <v>0</v>
      </c>
      <c r="P11" s="521"/>
      <c r="Q11" s="521"/>
    </row>
    <row r="12" spans="2:17" s="429" customFormat="1" ht="12.75">
      <c r="B12" s="527" t="s">
        <v>95</v>
      </c>
      <c r="C12" s="512">
        <f>SUM('PH_Összes bevétel'!B21)</f>
        <v>125</v>
      </c>
      <c r="D12" s="528">
        <v>50</v>
      </c>
      <c r="E12" s="529">
        <v>0</v>
      </c>
      <c r="F12" s="529">
        <v>50</v>
      </c>
      <c r="G12" s="529">
        <v>0</v>
      </c>
      <c r="H12" s="529">
        <v>25</v>
      </c>
      <c r="I12" s="529">
        <v>0</v>
      </c>
      <c r="J12" s="567">
        <v>0</v>
      </c>
      <c r="K12" s="567">
        <v>0</v>
      </c>
      <c r="L12" s="567">
        <v>0</v>
      </c>
      <c r="M12" s="567">
        <v>0</v>
      </c>
      <c r="N12" s="567">
        <v>0</v>
      </c>
      <c r="O12" s="568">
        <f t="shared" si="0"/>
        <v>0</v>
      </c>
      <c r="P12" s="521"/>
      <c r="Q12" s="521"/>
    </row>
    <row r="13" spans="2:17" s="429" customFormat="1" ht="25.5">
      <c r="B13" s="531" t="s">
        <v>146</v>
      </c>
      <c r="C13" s="512">
        <f>SUM('PH_Összes bevétel'!B25)</f>
        <v>5983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5983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521"/>
      <c r="Q13" s="521"/>
    </row>
    <row r="14" spans="2:17" s="429" customFormat="1" ht="12.75">
      <c r="B14" s="527" t="s">
        <v>277</v>
      </c>
      <c r="C14" s="512">
        <f>SUM('PH_Összes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67">
        <v>0</v>
      </c>
      <c r="K14" s="567">
        <v>0</v>
      </c>
      <c r="L14" s="567">
        <v>0</v>
      </c>
      <c r="M14" s="567">
        <v>0</v>
      </c>
      <c r="N14" s="567">
        <v>0</v>
      </c>
      <c r="O14" s="568">
        <f t="shared" si="0"/>
        <v>0</v>
      </c>
      <c r="P14" s="521"/>
      <c r="Q14" s="521"/>
    </row>
    <row r="15" spans="2:17" s="478" customFormat="1" ht="13.5" thickBot="1">
      <c r="B15" s="532" t="s">
        <v>282</v>
      </c>
      <c r="C15" s="533">
        <f>SUM('PH_Összes bevétel'!B32)</f>
        <v>374721</v>
      </c>
      <c r="D15" s="534">
        <f>SUM(D30-D8-D11-D12)</f>
        <v>23390</v>
      </c>
      <c r="E15" s="534">
        <f>SUM(E30-E8-E11)</f>
        <v>23443</v>
      </c>
      <c r="F15" s="534">
        <v>23390</v>
      </c>
      <c r="G15" s="534">
        <f>SUM(G30-G8-G11-G12)</f>
        <v>20303</v>
      </c>
      <c r="H15" s="534">
        <f>SUM(H30-H8-H11-H12)</f>
        <v>20280</v>
      </c>
      <c r="I15" s="534">
        <v>14320</v>
      </c>
      <c r="J15" s="569">
        <v>21391</v>
      </c>
      <c r="K15" s="569">
        <f>SUM(K30-K8-K11)</f>
        <v>50385</v>
      </c>
      <c r="L15" s="569">
        <v>50384</v>
      </c>
      <c r="M15" s="569">
        <v>42413</v>
      </c>
      <c r="N15" s="569">
        <v>42414</v>
      </c>
      <c r="O15" s="739">
        <f>+C15-D15-E15-F15-G15-H15-I15-J15-K15-L15-M15-N15-194</f>
        <v>42414</v>
      </c>
      <c r="P15" s="536"/>
      <c r="Q15" s="536"/>
    </row>
    <row r="16" spans="2:17" s="429" customFormat="1" ht="13.5" thickBot="1">
      <c r="B16" s="537" t="s">
        <v>147</v>
      </c>
      <c r="C16" s="538">
        <f aca="true" t="shared" si="1" ref="C16:O16">SUM(C8:C15)</f>
        <v>384488</v>
      </c>
      <c r="D16" s="539">
        <f t="shared" si="1"/>
        <v>24138</v>
      </c>
      <c r="E16" s="539">
        <f t="shared" si="1"/>
        <v>24139</v>
      </c>
      <c r="F16" s="539">
        <f t="shared" si="1"/>
        <v>24138</v>
      </c>
      <c r="G16" s="539">
        <f t="shared" si="1"/>
        <v>20835</v>
      </c>
      <c r="H16" s="539">
        <f t="shared" si="1"/>
        <v>20835</v>
      </c>
      <c r="I16" s="539">
        <f t="shared" si="1"/>
        <v>20835</v>
      </c>
      <c r="J16" s="538">
        <f t="shared" si="1"/>
        <v>21558</v>
      </c>
      <c r="K16" s="538">
        <f t="shared" si="1"/>
        <v>50385</v>
      </c>
      <c r="L16" s="538">
        <f t="shared" si="1"/>
        <v>50384</v>
      </c>
      <c r="M16" s="538">
        <f t="shared" si="1"/>
        <v>42413</v>
      </c>
      <c r="N16" s="538">
        <f t="shared" si="1"/>
        <v>42414</v>
      </c>
      <c r="O16" s="538">
        <f t="shared" si="1"/>
        <v>42414</v>
      </c>
      <c r="P16" s="521"/>
      <c r="Q16" s="521"/>
    </row>
    <row r="17" spans="2:17" s="429" customFormat="1" ht="12.75">
      <c r="B17" s="521"/>
      <c r="C17" s="540"/>
      <c r="D17" s="521"/>
      <c r="E17" s="521"/>
      <c r="F17" s="521"/>
      <c r="G17" s="521"/>
      <c r="H17" s="521"/>
      <c r="I17" s="521"/>
      <c r="J17" s="540"/>
      <c r="K17" s="540"/>
      <c r="L17" s="540"/>
      <c r="M17" s="540"/>
      <c r="N17" s="540"/>
      <c r="O17" s="540"/>
      <c r="P17" s="521"/>
      <c r="Q17" s="521"/>
    </row>
    <row r="18" spans="2:17" s="429" customFormat="1" ht="12.75">
      <c r="B18" s="521"/>
      <c r="C18" s="541"/>
      <c r="D18" s="521"/>
      <c r="E18" s="521"/>
      <c r="F18" s="521"/>
      <c r="G18" s="521"/>
      <c r="H18" s="521"/>
      <c r="I18" s="521"/>
      <c r="J18" s="540"/>
      <c r="K18" s="540"/>
      <c r="L18" s="540"/>
      <c r="M18" s="540"/>
      <c r="N18" s="540"/>
      <c r="O18" s="540"/>
      <c r="P18" s="521"/>
      <c r="Q18" s="521"/>
    </row>
    <row r="19" spans="2:17" s="429" customFormat="1" ht="12.75">
      <c r="B19" s="521"/>
      <c r="C19" s="541"/>
      <c r="D19" s="521"/>
      <c r="E19" s="521"/>
      <c r="F19" s="521"/>
      <c r="G19" s="521"/>
      <c r="H19" s="521"/>
      <c r="I19" s="521"/>
      <c r="J19" s="540"/>
      <c r="K19" s="540"/>
      <c r="L19" s="540"/>
      <c r="M19" s="540"/>
      <c r="N19" s="540"/>
      <c r="O19" s="540"/>
      <c r="P19" s="521"/>
      <c r="Q19" s="521"/>
    </row>
    <row r="20" spans="2:17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40"/>
      <c r="K20" s="540"/>
      <c r="L20" s="540"/>
      <c r="M20" s="540"/>
      <c r="N20" s="540"/>
      <c r="O20" s="540"/>
      <c r="P20" s="521"/>
      <c r="Q20" s="521"/>
    </row>
    <row r="21" spans="2:17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521"/>
      <c r="Q21" s="521"/>
    </row>
    <row r="22" spans="2:17" s="429" customFormat="1" ht="12.75">
      <c r="B22" s="542" t="s">
        <v>112</v>
      </c>
      <c r="C22" s="523">
        <f>SUM('PH_Összes kiadás'!C9)</f>
        <v>68480</v>
      </c>
      <c r="D22" s="543">
        <v>4026</v>
      </c>
      <c r="E22" s="525">
        <v>4027</v>
      </c>
      <c r="F22" s="525">
        <v>4026</v>
      </c>
      <c r="G22" s="525">
        <v>5433</v>
      </c>
      <c r="H22" s="525">
        <v>5433</v>
      </c>
      <c r="I22" s="525">
        <v>5433</v>
      </c>
      <c r="J22" s="525">
        <v>4451</v>
      </c>
      <c r="K22" s="525">
        <v>7130</v>
      </c>
      <c r="L22" s="525">
        <v>7130</v>
      </c>
      <c r="M22" s="525">
        <v>7130</v>
      </c>
      <c r="N22" s="525">
        <v>7130</v>
      </c>
      <c r="O22" s="566">
        <f aca="true" t="shared" si="2" ref="O22:O30">+C22-D22-E22-F22-G22-H22-I22-J22-K22-L22-M22-N22</f>
        <v>7131</v>
      </c>
      <c r="P22" s="521"/>
      <c r="Q22" s="521"/>
    </row>
    <row r="23" spans="2:17" s="429" customFormat="1" ht="12.75">
      <c r="B23" s="544" t="s">
        <v>113</v>
      </c>
      <c r="C23" s="512">
        <f>SUM('PH_Összes kiadás'!C10)</f>
        <v>18798</v>
      </c>
      <c r="D23" s="545">
        <v>1048</v>
      </c>
      <c r="E23" s="529">
        <v>1049</v>
      </c>
      <c r="F23" s="529">
        <v>1048</v>
      </c>
      <c r="G23" s="529">
        <v>1433</v>
      </c>
      <c r="H23" s="529">
        <v>1433</v>
      </c>
      <c r="I23" s="529">
        <v>1433</v>
      </c>
      <c r="J23" s="529">
        <v>1227</v>
      </c>
      <c r="K23" s="529">
        <v>2179</v>
      </c>
      <c r="L23" s="529">
        <v>2179</v>
      </c>
      <c r="M23" s="529">
        <v>1923</v>
      </c>
      <c r="N23" s="529">
        <v>1923</v>
      </c>
      <c r="O23" s="568">
        <f t="shared" si="2"/>
        <v>1923</v>
      </c>
      <c r="P23" s="521"/>
      <c r="Q23" s="521"/>
    </row>
    <row r="24" spans="2:17" s="429" customFormat="1" ht="12.75">
      <c r="B24" s="544" t="s">
        <v>114</v>
      </c>
      <c r="C24" s="512">
        <f>SUM('PH_Összes kiadás'!C11)</f>
        <v>37847</v>
      </c>
      <c r="D24" s="545">
        <v>1940</v>
      </c>
      <c r="E24" s="529">
        <v>1939</v>
      </c>
      <c r="F24" s="529">
        <v>1940</v>
      </c>
      <c r="G24" s="529">
        <v>1334</v>
      </c>
      <c r="H24" s="529">
        <v>1333</v>
      </c>
      <c r="I24" s="529">
        <v>1334</v>
      </c>
      <c r="J24" s="529">
        <v>938</v>
      </c>
      <c r="K24" s="529">
        <v>7495</v>
      </c>
      <c r="L24" s="529">
        <v>7495</v>
      </c>
      <c r="M24" s="529">
        <v>4033</v>
      </c>
      <c r="N24" s="529">
        <v>4033</v>
      </c>
      <c r="O24" s="568">
        <f t="shared" si="2"/>
        <v>4033</v>
      </c>
      <c r="P24" s="521"/>
      <c r="Q24" s="521"/>
    </row>
    <row r="25" spans="2:17" s="429" customFormat="1" ht="12.75">
      <c r="B25" s="546" t="s">
        <v>115</v>
      </c>
      <c r="C25" s="512">
        <f>SUM('PH_Összes kiadás'!C12)</f>
        <v>259363</v>
      </c>
      <c r="D25" s="545">
        <v>17124</v>
      </c>
      <c r="E25" s="529">
        <v>17124</v>
      </c>
      <c r="F25" s="529">
        <v>17124</v>
      </c>
      <c r="G25" s="529">
        <v>12635</v>
      </c>
      <c r="H25" s="529">
        <v>12636</v>
      </c>
      <c r="I25" s="529">
        <v>12635</v>
      </c>
      <c r="J25" s="529">
        <v>14942</v>
      </c>
      <c r="K25" s="529">
        <v>33581</v>
      </c>
      <c r="L25" s="529">
        <v>33580</v>
      </c>
      <c r="M25" s="529">
        <v>29327</v>
      </c>
      <c r="N25" s="529">
        <v>29328</v>
      </c>
      <c r="O25" s="568">
        <f t="shared" si="2"/>
        <v>29327</v>
      </c>
      <c r="P25" s="521"/>
      <c r="Q25" s="521"/>
    </row>
    <row r="26" spans="2:17" s="429" customFormat="1" ht="12.75">
      <c r="B26" s="544" t="s">
        <v>119</v>
      </c>
      <c r="C26" s="512">
        <f>SUM('PH_Összes kiadás'!C17)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67">
        <v>0</v>
      </c>
      <c r="K26" s="567">
        <v>0</v>
      </c>
      <c r="L26" s="567">
        <v>0</v>
      </c>
      <c r="M26" s="567">
        <v>0</v>
      </c>
      <c r="N26" s="567">
        <v>0</v>
      </c>
      <c r="O26" s="568">
        <f t="shared" si="2"/>
        <v>0</v>
      </c>
      <c r="P26" s="521"/>
      <c r="Q26" s="521"/>
    </row>
    <row r="27" spans="2:17" s="429" customFormat="1" ht="12.75">
      <c r="B27" s="544" t="s">
        <v>120</v>
      </c>
      <c r="C27" s="512">
        <f>SUM('PH_Összes kiadás'!C18)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67">
        <v>0</v>
      </c>
      <c r="K27" s="567">
        <v>0</v>
      </c>
      <c r="L27" s="567">
        <v>0</v>
      </c>
      <c r="M27" s="567">
        <v>0</v>
      </c>
      <c r="N27" s="567">
        <v>0</v>
      </c>
      <c r="O27" s="568">
        <f t="shared" si="2"/>
        <v>0</v>
      </c>
      <c r="P27" s="521"/>
      <c r="Q27" s="521"/>
    </row>
    <row r="28" spans="2:17" s="429" customFormat="1" ht="12.75">
      <c r="B28" s="544" t="s">
        <v>121</v>
      </c>
      <c r="C28" s="512">
        <f>SUM('PH_Összes kiadás'!C19)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</row>
    <row r="29" spans="2:17" s="429" customFormat="1" ht="13.5" thickBot="1">
      <c r="B29" s="544" t="s">
        <v>280</v>
      </c>
      <c r="C29" s="512">
        <f>SUM('PH_Összes kiadás'!C22)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0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0</v>
      </c>
      <c r="P29" s="521"/>
      <c r="Q29" s="521"/>
    </row>
    <row r="30" spans="2:17" s="429" customFormat="1" ht="13.5" thickBot="1">
      <c r="B30" s="537" t="s">
        <v>148</v>
      </c>
      <c r="C30" s="538">
        <f aca="true" t="shared" si="3" ref="C30:N30">SUM(C22:C29)</f>
        <v>384488</v>
      </c>
      <c r="D30" s="539">
        <f t="shared" si="3"/>
        <v>24138</v>
      </c>
      <c r="E30" s="539">
        <f t="shared" si="3"/>
        <v>24139</v>
      </c>
      <c r="F30" s="539">
        <f t="shared" si="3"/>
        <v>24138</v>
      </c>
      <c r="G30" s="539">
        <f t="shared" si="3"/>
        <v>20835</v>
      </c>
      <c r="H30" s="539">
        <f t="shared" si="3"/>
        <v>20835</v>
      </c>
      <c r="I30" s="539">
        <f t="shared" si="3"/>
        <v>20835</v>
      </c>
      <c r="J30" s="539">
        <f t="shared" si="3"/>
        <v>21558</v>
      </c>
      <c r="K30" s="539">
        <f t="shared" si="3"/>
        <v>50385</v>
      </c>
      <c r="L30" s="539">
        <f t="shared" si="3"/>
        <v>50384</v>
      </c>
      <c r="M30" s="539">
        <f t="shared" si="3"/>
        <v>42413</v>
      </c>
      <c r="N30" s="539">
        <f t="shared" si="3"/>
        <v>42414</v>
      </c>
      <c r="O30" s="539">
        <f t="shared" si="2"/>
        <v>42414</v>
      </c>
      <c r="P30" s="521"/>
      <c r="Q30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0"/>
  <sheetViews>
    <sheetView zoomScalePageLayoutView="0" workbookViewId="0" topLeftCell="D3">
      <selection activeCell="K28" sqref="K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423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764</v>
      </c>
      <c r="E8" s="550">
        <f aca="true" t="shared" si="0" ref="E8:O8">SUM(D26)</f>
        <v>1263</v>
      </c>
      <c r="F8" s="551">
        <f t="shared" si="0"/>
        <v>1710</v>
      </c>
      <c r="G8" s="551">
        <f t="shared" si="0"/>
        <v>2209</v>
      </c>
      <c r="H8" s="551">
        <f t="shared" si="0"/>
        <v>3084</v>
      </c>
      <c r="I8" s="551">
        <f t="shared" si="0"/>
        <v>3983</v>
      </c>
      <c r="J8" s="551">
        <f t="shared" si="0"/>
        <v>4858</v>
      </c>
      <c r="K8" s="551">
        <f t="shared" si="0"/>
        <v>-2988</v>
      </c>
      <c r="L8" s="551">
        <f t="shared" si="0"/>
        <v>-2987</v>
      </c>
      <c r="M8" s="551">
        <f t="shared" si="0"/>
        <v>-3121</v>
      </c>
      <c r="N8" s="551">
        <f t="shared" si="0"/>
        <v>822</v>
      </c>
      <c r="O8" s="552">
        <f t="shared" si="0"/>
        <v>5697</v>
      </c>
      <c r="P8" s="553"/>
    </row>
    <row r="9" spans="2:17" s="429" customFormat="1" ht="12.75">
      <c r="B9" s="522" t="s">
        <v>81</v>
      </c>
      <c r="C9" s="554"/>
      <c r="D9" s="524">
        <f>SUM('PH_Ei.felhaszn.'!D8)</f>
        <v>698</v>
      </c>
      <c r="E9" s="525">
        <f>SUM('PH_Ei.felhaszn.'!E8)</f>
        <v>696</v>
      </c>
      <c r="F9" s="525">
        <f>SUM('PH_Ei.felhaszn.'!F8)</f>
        <v>698</v>
      </c>
      <c r="G9" s="525">
        <f>SUM('PH_Ei.felhaszn.'!G8)</f>
        <v>244</v>
      </c>
      <c r="H9" s="525">
        <f>SUM('PH_Ei.felhaszn.'!H8)</f>
        <v>243</v>
      </c>
      <c r="I9" s="525">
        <f>SUM('PH_Ei.felhaszn.'!I8)</f>
        <v>244</v>
      </c>
      <c r="J9" s="525">
        <f>SUM('PH_Ei.felhaszn.'!J8)</f>
        <v>167</v>
      </c>
      <c r="K9" s="525">
        <v>44</v>
      </c>
      <c r="L9" s="525">
        <v>273</v>
      </c>
      <c r="M9" s="525">
        <v>161</v>
      </c>
      <c r="N9" s="525">
        <v>158</v>
      </c>
      <c r="O9" s="526">
        <v>0</v>
      </c>
      <c r="P9" s="523">
        <f>SUM(D9:O9)</f>
        <v>3626</v>
      </c>
      <c r="Q9" s="430"/>
    </row>
    <row r="10" spans="2:16" s="429" customFormat="1" ht="12.75">
      <c r="B10" s="527" t="s">
        <v>89</v>
      </c>
      <c r="C10" s="555"/>
      <c r="D10" s="528">
        <f>SUM('PH_Ei.felhaszn.'!D9)</f>
        <v>0</v>
      </c>
      <c r="E10" s="529">
        <f>SUM('PH_Ei.felhaszn.'!E9)</f>
        <v>0</v>
      </c>
      <c r="F10" s="529">
        <f>SUM('PH_Ei.felhaszn.'!F9)</f>
        <v>0</v>
      </c>
      <c r="G10" s="529">
        <f>SUM('PH_Ei.felhaszn.'!G9)</f>
        <v>0</v>
      </c>
      <c r="H10" s="529">
        <f>SUM('PH_Ei.felhaszn.'!H9)</f>
        <v>0</v>
      </c>
      <c r="I10" s="529">
        <f>SUM('PH_Ei.felhaszn.'!I9)</f>
        <v>0</v>
      </c>
      <c r="J10" s="529">
        <f>SUM('PH_Ei.felhaszn.'!J9)</f>
        <v>0</v>
      </c>
      <c r="K10" s="529">
        <f>SUM('PH_Ei.felhaszn.'!K9)</f>
        <v>0</v>
      </c>
      <c r="L10" s="529">
        <f>SUM('PH_Ei.felhaszn.'!L9)</f>
        <v>0</v>
      </c>
      <c r="M10" s="529">
        <f>SUM('PH_Ei.felhaszn.'!M9)</f>
        <v>0</v>
      </c>
      <c r="N10" s="529">
        <f>SUM('PH_Ei.felhaszn.'!N9)</f>
        <v>0</v>
      </c>
      <c r="O10" s="530">
        <f>+P10-D10-E10-F10-G10-H10-I10-J10-K10-L10-M10-N10</f>
        <v>0</v>
      </c>
      <c r="P10" s="512">
        <f>SUM('PH_Ei.felhaszn.'!C9)</f>
        <v>0</v>
      </c>
    </row>
    <row r="11" spans="2:16" s="429" customFormat="1" ht="12.75">
      <c r="B11" s="527" t="s">
        <v>90</v>
      </c>
      <c r="C11" s="555"/>
      <c r="D11" s="528">
        <f>SUM('PH_Ei.felhaszn.'!D10)</f>
        <v>0</v>
      </c>
      <c r="E11" s="529">
        <f>SUM('PH_Ei.felhaszn.'!E10)</f>
        <v>0</v>
      </c>
      <c r="F11" s="529">
        <f>SUM('PH_Ei.felhaszn.'!F10)</f>
        <v>0</v>
      </c>
      <c r="G11" s="529">
        <f>SUM('PH_Ei.felhaszn.'!G10)</f>
        <v>0</v>
      </c>
      <c r="H11" s="529">
        <f>SUM('PH_Ei.felhaszn.'!H10)</f>
        <v>0</v>
      </c>
      <c r="I11" s="529">
        <f>SUM('PH_Ei.felhaszn.'!I10)</f>
        <v>0</v>
      </c>
      <c r="J11" s="529">
        <f>SUM('PH_Ei.felhaszn.'!J10)</f>
        <v>0</v>
      </c>
      <c r="K11" s="529">
        <f>SUM('PH_Ei.felhaszn.'!K10)</f>
        <v>0</v>
      </c>
      <c r="L11" s="529">
        <f>SUM('PH_Ei.felhaszn.'!L10)</f>
        <v>0</v>
      </c>
      <c r="M11" s="529">
        <f>SUM('PH_Ei.felhaszn.'!M10)</f>
        <v>0</v>
      </c>
      <c r="N11" s="529">
        <f>SUM('PH_Ei.felhaszn.'!N10)</f>
        <v>0</v>
      </c>
      <c r="O11" s="530">
        <f>+P11-D11-E11-F11-G11-H11-I11-J11-K11-L11-M11-N11</f>
        <v>0</v>
      </c>
      <c r="P11" s="512">
        <f>SUM('PH_Ei.felhaszn.'!C10)</f>
        <v>0</v>
      </c>
    </row>
    <row r="12" spans="2:16" s="429" customFormat="1" ht="12.75">
      <c r="B12" s="527" t="s">
        <v>92</v>
      </c>
      <c r="C12" s="555"/>
      <c r="D12" s="528">
        <f>SUM('PH_Ei.felhaszn.'!D11)</f>
        <v>0</v>
      </c>
      <c r="E12" s="529">
        <f>SUM('PH_Ei.felhaszn.'!E11)</f>
        <v>0</v>
      </c>
      <c r="F12" s="529">
        <f>SUM('PH_Ei.felhaszn.'!F11)</f>
        <v>0</v>
      </c>
      <c r="G12" s="529">
        <f>SUM('PH_Ei.felhaszn.'!G11)</f>
        <v>288</v>
      </c>
      <c r="H12" s="529">
        <f>SUM('PH_Ei.felhaszn.'!H11)</f>
        <v>287</v>
      </c>
      <c r="I12" s="529">
        <f>SUM('PH_Ei.felhaszn.'!I11)</f>
        <v>288</v>
      </c>
      <c r="J12" s="529">
        <f>SUM('PH_Ei.felhaszn.'!J11)</f>
        <v>0</v>
      </c>
      <c r="K12" s="529">
        <f>SUM('PH_Ei.felhaszn.'!K11)</f>
        <v>0</v>
      </c>
      <c r="L12" s="529">
        <v>0</v>
      </c>
      <c r="M12" s="529">
        <f>SUM('PH_Ei.felhaszn.'!M11)</f>
        <v>0</v>
      </c>
      <c r="N12" s="529">
        <f>SUM('PH_Ei.felhaszn.'!N11)</f>
        <v>0</v>
      </c>
      <c r="O12" s="530">
        <v>0</v>
      </c>
      <c r="P12" s="512">
        <v>863</v>
      </c>
    </row>
    <row r="13" spans="2:16" s="429" customFormat="1" ht="12.75">
      <c r="B13" s="527" t="s">
        <v>95</v>
      </c>
      <c r="C13" s="555"/>
      <c r="D13" s="528">
        <f>SUM('PH_Ei.felhaszn.'!D12)</f>
        <v>50</v>
      </c>
      <c r="E13" s="529">
        <f>SUM('PH_Ei.felhaszn.'!E12)</f>
        <v>0</v>
      </c>
      <c r="F13" s="529">
        <f>SUM('PH_Ei.felhaszn.'!F12)</f>
        <v>50</v>
      </c>
      <c r="G13" s="529">
        <f>SUM('PH_Ei.felhaszn.'!G12)</f>
        <v>0</v>
      </c>
      <c r="H13" s="529">
        <f>SUM('PH_Ei.felhaszn.'!H12)</f>
        <v>25</v>
      </c>
      <c r="I13" s="529">
        <f>SUM('PH_Ei.felhaszn.'!I12)</f>
        <v>0</v>
      </c>
      <c r="J13" s="529">
        <f>SUM('PH_Ei.felhaszn.'!J12)</f>
        <v>0</v>
      </c>
      <c r="K13" s="529">
        <f>SUM('PH_Ei.felhaszn.'!K12)</f>
        <v>0</v>
      </c>
      <c r="L13" s="529">
        <f>SUM('PH_Ei.felhaszn.'!L12)</f>
        <v>0</v>
      </c>
      <c r="M13" s="529">
        <f>SUM('PH_Ei.felhaszn.'!M12)</f>
        <v>0</v>
      </c>
      <c r="N13" s="529">
        <f>SUM('PH_Ei.felhaszn.'!N12)</f>
        <v>0</v>
      </c>
      <c r="O13" s="530">
        <f>+P13-D13-E13-F13-G13-H13-I13-J13-K13-L13-M13-N13</f>
        <v>0</v>
      </c>
      <c r="P13" s="512">
        <f>SUM('PH_Ei.felhaszn.'!C12)</f>
        <v>125</v>
      </c>
    </row>
    <row r="14" spans="2:16" s="429" customFormat="1" ht="12.75">
      <c r="B14" s="527" t="s">
        <v>277</v>
      </c>
      <c r="C14" s="555"/>
      <c r="D14" s="528">
        <f>SUM('PH_Ei.felhaszn.'!D14)</f>
        <v>0</v>
      </c>
      <c r="E14" s="529">
        <f>SUM('PH_Ei.felhaszn.'!E14)</f>
        <v>0</v>
      </c>
      <c r="F14" s="529">
        <f>SUM('PH_Ei.felhaszn.'!F14)</f>
        <v>0</v>
      </c>
      <c r="G14" s="529">
        <f>SUM('PH_Ei.felhaszn.'!G14)</f>
        <v>0</v>
      </c>
      <c r="H14" s="529">
        <f>SUM('PH_Ei.felhaszn.'!H14)</f>
        <v>0</v>
      </c>
      <c r="I14" s="529">
        <f>SUM('PH_Ei.felhaszn.'!I14)</f>
        <v>0</v>
      </c>
      <c r="J14" s="529">
        <f>SUM('PH_Ei.felhaszn.'!J14)</f>
        <v>0</v>
      </c>
      <c r="K14" s="529">
        <f>SUM('PH_Ei.felhaszn.'!K14)</f>
        <v>0</v>
      </c>
      <c r="L14" s="529">
        <f>SUM('PH_Ei.felhaszn.'!L14)</f>
        <v>0</v>
      </c>
      <c r="M14" s="529">
        <f>SUM('PH_Ei.felhaszn.'!M14)</f>
        <v>0</v>
      </c>
      <c r="N14" s="529">
        <f>SUM('PH_Ei.felhaszn.'!N14)</f>
        <v>0</v>
      </c>
      <c r="O14" s="530">
        <f>+P14-D14-E14-F14-G14-H14-I14-J14-K14-L14-M14-N14</f>
        <v>0</v>
      </c>
      <c r="P14" s="512">
        <f>SUM('PH_Ei.felhaszn.'!C14)</f>
        <v>0</v>
      </c>
    </row>
    <row r="15" spans="2:16" s="478" customFormat="1" ht="13.5" thickBot="1">
      <c r="B15" s="532" t="s">
        <v>282</v>
      </c>
      <c r="C15" s="556"/>
      <c r="D15" s="534">
        <v>23889</v>
      </c>
      <c r="E15" s="534">
        <v>23890</v>
      </c>
      <c r="F15" s="534">
        <v>23889</v>
      </c>
      <c r="G15" s="534">
        <v>21178</v>
      </c>
      <c r="H15" s="534">
        <v>21179</v>
      </c>
      <c r="I15" s="534">
        <v>21178</v>
      </c>
      <c r="J15" s="534">
        <v>13545</v>
      </c>
      <c r="K15" s="534">
        <v>21419</v>
      </c>
      <c r="L15" s="534">
        <v>19918</v>
      </c>
      <c r="M15" s="534">
        <v>26214</v>
      </c>
      <c r="N15" s="534">
        <v>19972</v>
      </c>
      <c r="O15" s="534">
        <v>142839</v>
      </c>
      <c r="P15" s="533">
        <f>SUM(D15:O15)</f>
        <v>379110</v>
      </c>
    </row>
    <row r="16" spans="2:18" s="429" customFormat="1" ht="13.5" thickBot="1">
      <c r="B16" s="537" t="s">
        <v>147</v>
      </c>
      <c r="C16" s="557" t="s">
        <v>150</v>
      </c>
      <c r="D16" s="539">
        <f aca="true" t="shared" si="1" ref="D16:P16">SUM(D9:D15)</f>
        <v>24637</v>
      </c>
      <c r="E16" s="539">
        <f t="shared" si="1"/>
        <v>24586</v>
      </c>
      <c r="F16" s="539">
        <f t="shared" si="1"/>
        <v>24637</v>
      </c>
      <c r="G16" s="539">
        <f t="shared" si="1"/>
        <v>21710</v>
      </c>
      <c r="H16" s="539">
        <f t="shared" si="1"/>
        <v>21734</v>
      </c>
      <c r="I16" s="539">
        <f t="shared" si="1"/>
        <v>21710</v>
      </c>
      <c r="J16" s="539">
        <f t="shared" si="1"/>
        <v>13712</v>
      </c>
      <c r="K16" s="539">
        <f t="shared" si="1"/>
        <v>21463</v>
      </c>
      <c r="L16" s="539">
        <f t="shared" si="1"/>
        <v>20191</v>
      </c>
      <c r="M16" s="539">
        <f t="shared" si="1"/>
        <v>26375</v>
      </c>
      <c r="N16" s="539">
        <f t="shared" si="1"/>
        <v>20130</v>
      </c>
      <c r="O16" s="539">
        <f t="shared" si="1"/>
        <v>142839</v>
      </c>
      <c r="P16" s="538">
        <f t="shared" si="1"/>
        <v>383724</v>
      </c>
      <c r="R16" s="483"/>
    </row>
    <row r="17" spans="2:16" s="429" customFormat="1" ht="12.75">
      <c r="B17" s="542" t="s">
        <v>112</v>
      </c>
      <c r="C17" s="554"/>
      <c r="D17" s="543">
        <f>SUM('PH_Ei.felhaszn.'!D22)</f>
        <v>4026</v>
      </c>
      <c r="E17" s="525">
        <f>SUM('PH_Ei.felhaszn.'!E22)</f>
        <v>4027</v>
      </c>
      <c r="F17" s="525">
        <f>SUM('PH_Ei.felhaszn.'!F22)</f>
        <v>4026</v>
      </c>
      <c r="G17" s="525">
        <f>SUM('PH_Ei.felhaszn.'!G22)</f>
        <v>5433</v>
      </c>
      <c r="H17" s="525">
        <f>SUM('PH_Ei.felhaszn.'!H22)</f>
        <v>5433</v>
      </c>
      <c r="I17" s="525">
        <f>SUM('PH_Ei.felhaszn.'!I22)</f>
        <v>5433</v>
      </c>
      <c r="J17" s="525">
        <f>SUM('PH_Ei.felhaszn.'!J22)</f>
        <v>4451</v>
      </c>
      <c r="K17" s="525">
        <v>5118</v>
      </c>
      <c r="L17" s="525">
        <v>5246</v>
      </c>
      <c r="M17" s="525">
        <v>5137</v>
      </c>
      <c r="N17" s="525">
        <v>5127</v>
      </c>
      <c r="O17" s="526">
        <f>+P17-D17-E17-F17-G17-H17-I17-J17-K17-L17-M17-N17</f>
        <v>15023</v>
      </c>
      <c r="P17" s="523">
        <f>SUM('PH_Ei.felhaszn.'!C22)</f>
        <v>68480</v>
      </c>
    </row>
    <row r="18" spans="2:16" s="429" customFormat="1" ht="12.75">
      <c r="B18" s="544" t="s">
        <v>113</v>
      </c>
      <c r="C18" s="555"/>
      <c r="D18" s="545">
        <f>SUM('PH_Ei.felhaszn.'!D23)</f>
        <v>1048</v>
      </c>
      <c r="E18" s="529">
        <f>SUM('PH_Ei.felhaszn.'!E23)</f>
        <v>1049</v>
      </c>
      <c r="F18" s="529">
        <f>SUM('PH_Ei.felhaszn.'!F23)</f>
        <v>1048</v>
      </c>
      <c r="G18" s="529">
        <f>SUM('PH_Ei.felhaszn.'!G23)</f>
        <v>1433</v>
      </c>
      <c r="H18" s="529">
        <f>SUM('PH_Ei.felhaszn.'!H23)</f>
        <v>1433</v>
      </c>
      <c r="I18" s="529">
        <f>SUM('PH_Ei.felhaszn.'!I23)</f>
        <v>1433</v>
      </c>
      <c r="J18" s="529">
        <f>SUM('PH_Ei.felhaszn.'!J23)</f>
        <v>1227</v>
      </c>
      <c r="K18" s="529">
        <v>1354</v>
      </c>
      <c r="L18" s="529">
        <v>1388</v>
      </c>
      <c r="M18" s="529">
        <v>1359</v>
      </c>
      <c r="N18" s="529">
        <v>1356</v>
      </c>
      <c r="O18" s="530">
        <f aca="true" t="shared" si="2" ref="O18:O23">+P18-D18-E18-F18-G18-H18-I18-J18-K18-L18-M18-N18</f>
        <v>4670</v>
      </c>
      <c r="P18" s="512">
        <f>SUM('PH_Ei.felhaszn.'!C23)</f>
        <v>18798</v>
      </c>
    </row>
    <row r="19" spans="2:16" s="429" customFormat="1" ht="12.75">
      <c r="B19" s="544" t="s">
        <v>114</v>
      </c>
      <c r="C19" s="555"/>
      <c r="D19" s="545">
        <f>SUM('PH_Ei.felhaszn.'!D24)</f>
        <v>1940</v>
      </c>
      <c r="E19" s="529">
        <f>SUM('PH_Ei.felhaszn.'!E24)</f>
        <v>1939</v>
      </c>
      <c r="F19" s="529">
        <f>SUM('PH_Ei.felhaszn.'!F24)</f>
        <v>1940</v>
      </c>
      <c r="G19" s="529">
        <f>SUM('PH_Ei.felhaszn.'!G24)</f>
        <v>1334</v>
      </c>
      <c r="H19" s="529">
        <f>SUM('PH_Ei.felhaszn.'!H24)</f>
        <v>1333</v>
      </c>
      <c r="I19" s="529">
        <f>SUM('PH_Ei.felhaszn.'!I24)</f>
        <v>1334</v>
      </c>
      <c r="J19" s="529">
        <f>SUM('PH_Ei.felhaszn.'!J24)</f>
        <v>938</v>
      </c>
      <c r="K19" s="529">
        <v>1118</v>
      </c>
      <c r="L19" s="529">
        <v>2052</v>
      </c>
      <c r="M19" s="529">
        <v>1183</v>
      </c>
      <c r="N19" s="529">
        <v>967</v>
      </c>
      <c r="O19" s="530">
        <f t="shared" si="2"/>
        <v>21769</v>
      </c>
      <c r="P19" s="512">
        <f>SUM('PH_Ei.felhaszn.'!C24)</f>
        <v>37847</v>
      </c>
    </row>
    <row r="20" spans="2:16" s="429" customFormat="1" ht="12.75">
      <c r="B20" s="546" t="s">
        <v>115</v>
      </c>
      <c r="C20" s="555"/>
      <c r="D20" s="545">
        <f>SUM('PH_Ei.felhaszn.'!D25)</f>
        <v>17124</v>
      </c>
      <c r="E20" s="529">
        <f>SUM('PH_Ei.felhaszn.'!E25)</f>
        <v>17124</v>
      </c>
      <c r="F20" s="529">
        <f>SUM('PH_Ei.felhaszn.'!F25)</f>
        <v>17124</v>
      </c>
      <c r="G20" s="529">
        <f>SUM('PH_Ei.felhaszn.'!G25)</f>
        <v>12635</v>
      </c>
      <c r="H20" s="529">
        <f>SUM('PH_Ei.felhaszn.'!H25)</f>
        <v>12636</v>
      </c>
      <c r="I20" s="529">
        <f>SUM('PH_Ei.felhaszn.'!I25)</f>
        <v>12635</v>
      </c>
      <c r="J20" s="529">
        <f>SUM('PH_Ei.felhaszn.'!J25)</f>
        <v>14942</v>
      </c>
      <c r="K20" s="529">
        <v>13626</v>
      </c>
      <c r="L20" s="529">
        <v>12929</v>
      </c>
      <c r="M20" s="529">
        <v>18393</v>
      </c>
      <c r="N20" s="529">
        <v>7965</v>
      </c>
      <c r="O20" s="530">
        <v>102230</v>
      </c>
      <c r="P20" s="512">
        <v>259363</v>
      </c>
    </row>
    <row r="21" spans="2:16" s="429" customFormat="1" ht="12.75">
      <c r="B21" s="544" t="s">
        <v>119</v>
      </c>
      <c r="C21" s="555"/>
      <c r="D21" s="545">
        <f>SUM('PH_Ei.felhaszn.'!D26)</f>
        <v>0</v>
      </c>
      <c r="E21" s="529">
        <f>SUM('PH_Ei.felhaszn.'!E26)</f>
        <v>0</v>
      </c>
      <c r="F21" s="529">
        <v>0</v>
      </c>
      <c r="G21" s="529">
        <f>SUM('PH_Ei.felhaszn.'!G26)</f>
        <v>0</v>
      </c>
      <c r="H21" s="529">
        <f>SUM('PH_Ei.felhaszn.'!H26)</f>
        <v>0</v>
      </c>
      <c r="I21" s="529">
        <f>SUM('PH_Ei.felhaszn.'!I26)</f>
        <v>0</v>
      </c>
      <c r="J21" s="529">
        <f>SUM('PH_Ei.felhaszn.'!J26)</f>
        <v>0</v>
      </c>
      <c r="K21" s="529">
        <f>SUM('PH_Ei.felhaszn.'!K26)</f>
        <v>0</v>
      </c>
      <c r="L21" s="529">
        <f>SUM('PH_Ei.felhaszn.'!L26)</f>
        <v>0</v>
      </c>
      <c r="M21" s="529">
        <f>SUM('PH_Ei.felhaszn.'!M26)</f>
        <v>0</v>
      </c>
      <c r="N21" s="529">
        <v>0</v>
      </c>
      <c r="O21" s="530">
        <f t="shared" si="2"/>
        <v>0</v>
      </c>
      <c r="P21" s="512">
        <f>SUM('PH_Ei.felhaszn.'!C26)</f>
        <v>0</v>
      </c>
    </row>
    <row r="22" spans="2:16" s="429" customFormat="1" ht="12.75">
      <c r="B22" s="544" t="s">
        <v>120</v>
      </c>
      <c r="C22" s="555"/>
      <c r="D22" s="545">
        <f>SUM('PH_Ei.felhaszn.'!D27)</f>
        <v>0</v>
      </c>
      <c r="E22" s="529">
        <f>SUM('PH_Ei.felhaszn.'!E27)</f>
        <v>0</v>
      </c>
      <c r="F22" s="529">
        <f>SUM('PH_Ei.felhaszn.'!F27)</f>
        <v>0</v>
      </c>
      <c r="G22" s="529">
        <f>SUM('PH_Ei.felhaszn.'!G27)</f>
        <v>0</v>
      </c>
      <c r="H22" s="529">
        <f>SUM('PH_Ei.felhaszn.'!H27)</f>
        <v>0</v>
      </c>
      <c r="I22" s="529">
        <f>SUM('PH_Ei.felhaszn.'!I27)</f>
        <v>0</v>
      </c>
      <c r="J22" s="529">
        <f>SUM('PH_Ei.felhaszn.'!J27)</f>
        <v>0</v>
      </c>
      <c r="K22" s="529">
        <f>SUM('PH_Ei.felhaszn.'!K27)</f>
        <v>0</v>
      </c>
      <c r="L22" s="529">
        <f>SUM('PH_Ei.felhaszn.'!L27)</f>
        <v>0</v>
      </c>
      <c r="M22" s="529">
        <f>SUM('PH_Ei.felhaszn.'!M27)</f>
        <v>0</v>
      </c>
      <c r="N22" s="529">
        <v>0</v>
      </c>
      <c r="O22" s="530">
        <f t="shared" si="2"/>
        <v>0</v>
      </c>
      <c r="P22" s="512">
        <f>SUM('PH_Ei.felhaszn.'!C27)</f>
        <v>0</v>
      </c>
    </row>
    <row r="23" spans="2:16" s="429" customFormat="1" ht="12.75">
      <c r="B23" s="544" t="s">
        <v>121</v>
      </c>
      <c r="C23" s="555"/>
      <c r="D23" s="545">
        <f>SUM('PH_Ei.felhaszn.'!D28)</f>
        <v>0</v>
      </c>
      <c r="E23" s="529">
        <f>SUM('PH_Ei.felhaszn.'!E28)</f>
        <v>0</v>
      </c>
      <c r="F23" s="529">
        <f>SUM('PH_Ei.felhaszn.'!F28)</f>
        <v>0</v>
      </c>
      <c r="G23" s="529">
        <f>SUM('PH_Ei.felhaszn.'!G28)</f>
        <v>0</v>
      </c>
      <c r="H23" s="529">
        <v>0</v>
      </c>
      <c r="I23" s="529">
        <f>SUM('PH_Ei.felhaszn.'!I28)</f>
        <v>0</v>
      </c>
      <c r="J23" s="529">
        <f>SUM('PH_Ei.felhaszn.'!J28)</f>
        <v>0</v>
      </c>
      <c r="K23" s="529">
        <f>SUM('PH_Ei.felhaszn.'!K28)</f>
        <v>0</v>
      </c>
      <c r="L23" s="529">
        <f>SUM('PH_Ei.felhaszn.'!L28)</f>
        <v>0</v>
      </c>
      <c r="M23" s="529">
        <f>SUM('PH_Ei.felhaszn.'!M28)</f>
        <v>0</v>
      </c>
      <c r="N23" s="529">
        <v>0</v>
      </c>
      <c r="O23" s="530">
        <f t="shared" si="2"/>
        <v>0</v>
      </c>
      <c r="P23" s="512">
        <f>SUM('PH_Ei.felhaszn.'!C28)</f>
        <v>0</v>
      </c>
    </row>
    <row r="24" spans="2:16" s="429" customFormat="1" ht="13.5" thickBot="1">
      <c r="B24" s="544" t="s">
        <v>280</v>
      </c>
      <c r="C24" s="555"/>
      <c r="D24" s="545">
        <f>SUM('PH_Ei.felhaszn.'!D29)</f>
        <v>0</v>
      </c>
      <c r="E24" s="529">
        <f>SUM('PH_Ei.felhaszn.'!E29)</f>
        <v>0</v>
      </c>
      <c r="F24" s="529">
        <f>SUM('PH_Ei.felhaszn.'!F29)</f>
        <v>0</v>
      </c>
      <c r="G24" s="529">
        <f>SUM('PH_Ei.felhaszn.'!G29)</f>
        <v>0</v>
      </c>
      <c r="H24" s="529">
        <f>SUM('PH_Ei.felhaszn.'!H29)</f>
        <v>0</v>
      </c>
      <c r="I24" s="529">
        <f>SUM('PH_Ei.felhaszn.'!I29)</f>
        <v>0</v>
      </c>
      <c r="J24" s="529">
        <f>SUM('PH_Ei.felhaszn.'!J29)</f>
        <v>0</v>
      </c>
      <c r="K24" s="529">
        <v>246</v>
      </c>
      <c r="L24" s="529">
        <v>-1290</v>
      </c>
      <c r="M24" s="529">
        <v>-3640</v>
      </c>
      <c r="N24" s="529">
        <v>-160</v>
      </c>
      <c r="O24" s="530">
        <v>4844</v>
      </c>
      <c r="P24" s="512">
        <f>SUM(D24:O24)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3" ref="D25:P25">SUM(D17:D24)</f>
        <v>24138</v>
      </c>
      <c r="E25" s="539">
        <f t="shared" si="3"/>
        <v>24139</v>
      </c>
      <c r="F25" s="539">
        <f t="shared" si="3"/>
        <v>24138</v>
      </c>
      <c r="G25" s="539">
        <f t="shared" si="3"/>
        <v>20835</v>
      </c>
      <c r="H25" s="539">
        <f t="shared" si="3"/>
        <v>20835</v>
      </c>
      <c r="I25" s="539">
        <f t="shared" si="3"/>
        <v>20835</v>
      </c>
      <c r="J25" s="539">
        <f t="shared" si="3"/>
        <v>21558</v>
      </c>
      <c r="K25" s="539">
        <f t="shared" si="3"/>
        <v>21462</v>
      </c>
      <c r="L25" s="539">
        <f t="shared" si="3"/>
        <v>20325</v>
      </c>
      <c r="M25" s="539">
        <f t="shared" si="3"/>
        <v>22432</v>
      </c>
      <c r="N25" s="539">
        <f t="shared" si="3"/>
        <v>15255</v>
      </c>
      <c r="O25" s="539">
        <f t="shared" si="3"/>
        <v>148536</v>
      </c>
      <c r="P25" s="538">
        <f t="shared" si="3"/>
        <v>384488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4" ref="D26:O26">SUM(D8+D16-D25)</f>
        <v>1263</v>
      </c>
      <c r="E26" s="551">
        <f t="shared" si="4"/>
        <v>1710</v>
      </c>
      <c r="F26" s="551">
        <f t="shared" si="4"/>
        <v>2209</v>
      </c>
      <c r="G26" s="551">
        <f t="shared" si="4"/>
        <v>3084</v>
      </c>
      <c r="H26" s="551">
        <f t="shared" si="4"/>
        <v>3983</v>
      </c>
      <c r="I26" s="551">
        <f t="shared" si="4"/>
        <v>4858</v>
      </c>
      <c r="J26" s="551">
        <f t="shared" si="4"/>
        <v>-2988</v>
      </c>
      <c r="K26" s="551">
        <f t="shared" si="4"/>
        <v>-2987</v>
      </c>
      <c r="L26" s="551">
        <f t="shared" si="4"/>
        <v>-3121</v>
      </c>
      <c r="M26" s="551">
        <f t="shared" si="4"/>
        <v>822</v>
      </c>
      <c r="N26" s="551">
        <f t="shared" si="4"/>
        <v>5697</v>
      </c>
      <c r="O26" s="552">
        <f t="shared" si="4"/>
        <v>0</v>
      </c>
      <c r="P26" s="561"/>
    </row>
    <row r="27" ht="12.75">
      <c r="C27" s="27"/>
    </row>
    <row r="28" ht="26.25" customHeight="1">
      <c r="J28" s="63"/>
    </row>
    <row r="30" ht="12.75">
      <c r="J30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55.xml><?xml version="1.0" encoding="utf-8"?>
<worksheet xmlns="http://schemas.openxmlformats.org/spreadsheetml/2006/main" xmlns:r="http://schemas.openxmlformats.org/officeDocument/2006/relationships">
  <dimension ref="B3:J18"/>
  <sheetViews>
    <sheetView zoomScalePageLayoutView="0" workbookViewId="0" topLeftCell="A1">
      <selection activeCell="K16" sqref="K16"/>
    </sheetView>
  </sheetViews>
  <sheetFormatPr defaultColWidth="9.00390625" defaultRowHeight="12.75"/>
  <cols>
    <col min="2" max="2" width="56.125" style="0" bestFit="1" customWidth="1"/>
    <col min="3" max="6" width="10.00390625" style="0" customWidth="1"/>
    <col min="7" max="9" width="13.25390625" style="0" customWidth="1"/>
  </cols>
  <sheetData>
    <row r="3" spans="2:10" ht="41.25" customHeight="1">
      <c r="B3" s="776" t="s">
        <v>642</v>
      </c>
      <c r="C3" s="776"/>
      <c r="D3" s="776"/>
      <c r="E3" s="776"/>
      <c r="F3" s="776"/>
      <c r="G3" s="776"/>
      <c r="H3" s="776"/>
      <c r="I3" s="776"/>
      <c r="J3" s="776"/>
    </row>
    <row r="4" spans="7:9" ht="12.75">
      <c r="G4" s="18"/>
      <c r="I4" s="18"/>
    </row>
    <row r="5" spans="7:9" ht="12.75">
      <c r="G5" s="18"/>
      <c r="I5" s="136" t="s">
        <v>403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3.5" thickBot="1">
      <c r="B8" s="633" t="s">
        <v>151</v>
      </c>
      <c r="C8" s="603">
        <v>0</v>
      </c>
      <c r="D8" s="595">
        <v>0</v>
      </c>
      <c r="E8" s="595">
        <v>0</v>
      </c>
      <c r="F8" s="595">
        <v>0</v>
      </c>
      <c r="G8" s="596">
        <f>SUM(C8:F8)</f>
        <v>0</v>
      </c>
      <c r="H8" s="612">
        <v>0</v>
      </c>
      <c r="I8" s="607">
        <f>SUM(G8:H8)</f>
        <v>0</v>
      </c>
    </row>
    <row r="9" spans="2:9" ht="15.75" thickBot="1">
      <c r="B9" s="627" t="s">
        <v>664</v>
      </c>
      <c r="C9" s="628">
        <f>SUM(C8:C8)</f>
        <v>0</v>
      </c>
      <c r="D9" s="629">
        <f>SUM(D8:D8)</f>
        <v>0</v>
      </c>
      <c r="E9" s="629">
        <f>SUM(E8:E8)</f>
        <v>0</v>
      </c>
      <c r="F9" s="629">
        <f>SUM(F8:F8)</f>
        <v>0</v>
      </c>
      <c r="G9" s="630">
        <f aca="true" t="shared" si="0" ref="G9:G14">SUM(C9:F9)</f>
        <v>0</v>
      </c>
      <c r="H9" s="631">
        <f>SUM(H8:H8)</f>
        <v>0</v>
      </c>
      <c r="I9" s="632">
        <f aca="true" t="shared" si="1" ref="I9:I14">SUM(G9:H9)</f>
        <v>0</v>
      </c>
    </row>
    <row r="10" spans="2:9" s="2" customFormat="1" ht="12.75">
      <c r="B10" s="276" t="s">
        <v>678</v>
      </c>
      <c r="C10" s="634">
        <v>0</v>
      </c>
      <c r="D10" s="576">
        <v>0</v>
      </c>
      <c r="E10" s="576">
        <v>1000</v>
      </c>
      <c r="F10" s="576">
        <v>0</v>
      </c>
      <c r="G10" s="179">
        <f t="shared" si="0"/>
        <v>1000</v>
      </c>
      <c r="H10" s="635">
        <v>0</v>
      </c>
      <c r="I10" s="636">
        <f t="shared" si="1"/>
        <v>1000</v>
      </c>
    </row>
    <row r="11" spans="2:9" s="2" customFormat="1" ht="13.5" thickBot="1">
      <c r="B11" s="274" t="s">
        <v>679</v>
      </c>
      <c r="C11" s="637">
        <v>172</v>
      </c>
      <c r="D11" s="195">
        <v>46</v>
      </c>
      <c r="E11" s="195">
        <v>0</v>
      </c>
      <c r="F11" s="195">
        <v>0</v>
      </c>
      <c r="G11" s="145">
        <f t="shared" si="0"/>
        <v>218</v>
      </c>
      <c r="H11" s="638">
        <v>0</v>
      </c>
      <c r="I11" s="639">
        <f t="shared" si="1"/>
        <v>218</v>
      </c>
    </row>
    <row r="12" spans="2:9" s="2" customFormat="1" ht="15.75" thickBot="1">
      <c r="B12" s="640" t="s">
        <v>665</v>
      </c>
      <c r="C12" s="641">
        <f>SUM(C10:C11)</f>
        <v>172</v>
      </c>
      <c r="D12" s="642">
        <f>SUM(D10:D11)</f>
        <v>46</v>
      </c>
      <c r="E12" s="642">
        <f>SUM(E10:E11)</f>
        <v>1000</v>
      </c>
      <c r="F12" s="642">
        <f>SUM(F10:F11)</f>
        <v>0</v>
      </c>
      <c r="G12" s="643">
        <f t="shared" si="0"/>
        <v>1218</v>
      </c>
      <c r="H12" s="644">
        <f>SUM(H10:H11)</f>
        <v>0</v>
      </c>
      <c r="I12" s="645">
        <f t="shared" si="1"/>
        <v>1218</v>
      </c>
    </row>
    <row r="13" spans="2:9" s="516" customFormat="1" ht="12.75" customHeight="1">
      <c r="B13" s="646" t="s">
        <v>680</v>
      </c>
      <c r="C13" s="647">
        <v>68308</v>
      </c>
      <c r="D13" s="648">
        <v>18752</v>
      </c>
      <c r="E13" s="648">
        <v>36747</v>
      </c>
      <c r="F13" s="648">
        <v>0</v>
      </c>
      <c r="G13" s="179">
        <f>SUM(C13:F13)</f>
        <v>123807</v>
      </c>
      <c r="H13" s="514">
        <v>0</v>
      </c>
      <c r="I13" s="636">
        <f>SUM(G13:H13)</f>
        <v>123807</v>
      </c>
    </row>
    <row r="14" spans="2:9" s="516" customFormat="1" ht="12.75" customHeight="1" thickBot="1">
      <c r="B14" s="649" t="s">
        <v>681</v>
      </c>
      <c r="C14" s="650">
        <v>0</v>
      </c>
      <c r="D14" s="651">
        <v>0</v>
      </c>
      <c r="E14" s="651">
        <v>100</v>
      </c>
      <c r="F14" s="651">
        <v>259363</v>
      </c>
      <c r="G14" s="652">
        <f t="shared" si="0"/>
        <v>259463</v>
      </c>
      <c r="H14" s="508">
        <v>0</v>
      </c>
      <c r="I14" s="653">
        <f t="shared" si="1"/>
        <v>259463</v>
      </c>
    </row>
    <row r="15" spans="2:9" s="2" customFormat="1" ht="15.75" thickBot="1">
      <c r="B15" s="640" t="s">
        <v>666</v>
      </c>
      <c r="C15" s="641">
        <f>SUM(C13:C14)</f>
        <v>68308</v>
      </c>
      <c r="D15" s="642">
        <f aca="true" t="shared" si="2" ref="D15:I15">SUM(D13:D14)</f>
        <v>18752</v>
      </c>
      <c r="E15" s="642">
        <f t="shared" si="2"/>
        <v>36847</v>
      </c>
      <c r="F15" s="642">
        <f t="shared" si="2"/>
        <v>259363</v>
      </c>
      <c r="G15" s="643">
        <f t="shared" si="2"/>
        <v>383270</v>
      </c>
      <c r="H15" s="644">
        <f t="shared" si="2"/>
        <v>0</v>
      </c>
      <c r="I15" s="645">
        <f t="shared" si="2"/>
        <v>383270</v>
      </c>
    </row>
    <row r="17" spans="3:9" ht="12.75">
      <c r="C17" s="63"/>
      <c r="D17" s="63"/>
      <c r="E17" s="63"/>
      <c r="F17" s="63"/>
      <c r="G17" s="63"/>
      <c r="H17" s="63"/>
      <c r="I17" s="63"/>
    </row>
    <row r="18" spans="3:9" ht="12.75">
      <c r="C18" s="63"/>
      <c r="D18" s="63"/>
      <c r="E18" s="63"/>
      <c r="F18" s="63"/>
      <c r="G18" s="63"/>
      <c r="H18" s="63"/>
      <c r="I18" s="63"/>
    </row>
  </sheetData>
  <sheetProtection/>
  <mergeCells count="1">
    <mergeCell ref="B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8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410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155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7" sqref="E37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604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432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49196</v>
      </c>
    </row>
    <row r="8" spans="1:2" ht="18.75" customHeight="1">
      <c r="A8" s="53" t="s">
        <v>82</v>
      </c>
      <c r="B8" s="145">
        <f>SUM(B9:B14)</f>
        <v>49196</v>
      </c>
    </row>
    <row r="9" spans="1:2" ht="18.75" customHeight="1">
      <c r="A9" s="55" t="s">
        <v>83</v>
      </c>
      <c r="B9" s="72">
        <f>SUM('GAM_Int.műk.bev.'!B8)</f>
        <v>0</v>
      </c>
    </row>
    <row r="10" spans="1:2" ht="18.75" customHeight="1">
      <c r="A10" s="55" t="s">
        <v>84</v>
      </c>
      <c r="B10" s="72">
        <f>SUM('GAM_Int.műk.bev.'!B9)</f>
        <v>7679</v>
      </c>
    </row>
    <row r="11" spans="1:2" ht="18.75" customHeight="1">
      <c r="A11" s="55" t="s">
        <v>85</v>
      </c>
      <c r="B11" s="72">
        <f>SUM('GAM_Int.műk.bev.'!B15)</f>
        <v>27207</v>
      </c>
    </row>
    <row r="12" spans="1:2" ht="18.75" customHeight="1">
      <c r="A12" s="55" t="s">
        <v>86</v>
      </c>
      <c r="B12" s="72">
        <f>SUM('GAM_Int.műk.bev.'!B22)</f>
        <v>250</v>
      </c>
    </row>
    <row r="13" spans="1:2" ht="18.75" customHeight="1">
      <c r="A13" s="55" t="s">
        <v>87</v>
      </c>
      <c r="B13" s="72">
        <f>SUM('GAM_Int.műk.bev.'!B25)</f>
        <v>0</v>
      </c>
    </row>
    <row r="14" spans="1:2" ht="18.75" customHeight="1">
      <c r="A14" s="55" t="s">
        <v>88</v>
      </c>
      <c r="B14" s="72">
        <f>SUM('GAM_Int.műk.bev.'!B28)</f>
        <v>14060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f>SUM('GAM_Felhalmozási és tőke.bev'!B7)</f>
        <v>0</v>
      </c>
    </row>
    <row r="18" spans="1:2" s="67" customFormat="1" ht="18.75" customHeight="1">
      <c r="A18" s="65" t="s">
        <v>92</v>
      </c>
      <c r="B18" s="325">
        <f>SUM(B19+B20)</f>
        <v>26</v>
      </c>
    </row>
    <row r="19" spans="1:2" s="59" customFormat="1" ht="18.75" customHeight="1">
      <c r="A19" s="86" t="s">
        <v>93</v>
      </c>
      <c r="B19" s="323">
        <f>SUM('GAM_Tám. ért. bev.'!B6)</f>
        <v>26</v>
      </c>
    </row>
    <row r="20" spans="1:2" s="59" customFormat="1" ht="18.75" customHeight="1">
      <c r="A20" s="86" t="s">
        <v>94</v>
      </c>
      <c r="B20" s="323"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49222</v>
      </c>
    </row>
    <row r="25" spans="1:2" s="67" customFormat="1" ht="32.25" customHeight="1">
      <c r="A25" s="70" t="s">
        <v>98</v>
      </c>
      <c r="B25" s="71">
        <f>SUM(B26+B29)</f>
        <v>3804</v>
      </c>
    </row>
    <row r="26" spans="1:2" ht="18.75" customHeight="1">
      <c r="A26" s="55" t="s">
        <v>99</v>
      </c>
      <c r="B26" s="72">
        <f>SUM(B27+B28)</f>
        <v>3804</v>
      </c>
    </row>
    <row r="27" spans="1:2" ht="18.75" customHeight="1">
      <c r="A27" s="55" t="s">
        <v>100</v>
      </c>
      <c r="B27" s="72">
        <v>3804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53026</v>
      </c>
    </row>
    <row r="32" spans="1:2" s="221" customFormat="1" ht="18.75" customHeight="1">
      <c r="A32" s="225" t="s">
        <v>282</v>
      </c>
      <c r="B32" s="226">
        <f>SUM(B33:B34)</f>
        <v>165788</v>
      </c>
    </row>
    <row r="33" spans="1:2" s="221" customFormat="1" ht="18.75" customHeight="1">
      <c r="A33" s="222" t="s">
        <v>283</v>
      </c>
      <c r="B33" s="741">
        <f>174541-9994-1+1242-4100</f>
        <v>161688</v>
      </c>
    </row>
    <row r="34" spans="1:2" s="221" customFormat="1" ht="18.75" customHeight="1" thickBot="1">
      <c r="A34" s="223" t="s">
        <v>284</v>
      </c>
      <c r="B34" s="224">
        <v>4100</v>
      </c>
    </row>
    <row r="35" spans="1:2" s="78" customFormat="1" ht="18.75" customHeight="1" thickBot="1">
      <c r="A35" s="68" t="s">
        <v>286</v>
      </c>
      <c r="B35" s="230">
        <f>SUM(B31+B32)</f>
        <v>218814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5" zoomScaleNormal="75" zoomScalePageLayoutView="0" workbookViewId="0" topLeftCell="A16">
      <selection activeCell="I16" sqref="I16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2" customWidth="1"/>
    <col min="4" max="4" width="13.125" style="0" bestFit="1" customWidth="1"/>
    <col min="5" max="5" width="12.00390625" style="0" bestFit="1" customWidth="1"/>
    <col min="6" max="6" width="14.875" style="0" bestFit="1" customWidth="1"/>
    <col min="7" max="7" width="10.375" style="0" bestFit="1" customWidth="1"/>
    <col min="8" max="8" width="11.625" style="0" bestFit="1" customWidth="1"/>
    <col min="9" max="9" width="12.00390625" style="0" bestFit="1" customWidth="1"/>
  </cols>
  <sheetData>
    <row r="1" spans="1:2" ht="20.25">
      <c r="A1" s="28"/>
      <c r="B1" s="28"/>
    </row>
    <row r="2" spans="1:2" ht="20.25">
      <c r="A2" s="768" t="s">
        <v>606</v>
      </c>
      <c r="B2" s="768"/>
    </row>
    <row r="3" spans="1:2" ht="15.75">
      <c r="A3" s="29"/>
      <c r="B3" s="29"/>
    </row>
    <row r="4" ht="12.75">
      <c r="B4" s="7" t="s">
        <v>433</v>
      </c>
    </row>
    <row r="5" ht="12.75">
      <c r="B5" s="439"/>
    </row>
    <row r="6" ht="13.5" thickBot="1">
      <c r="B6" s="439" t="s">
        <v>71</v>
      </c>
    </row>
    <row r="7" spans="1:2" ht="33.75" customHeight="1" thickBot="1">
      <c r="A7" s="8" t="s">
        <v>41</v>
      </c>
      <c r="B7" s="98" t="s">
        <v>605</v>
      </c>
    </row>
    <row r="8" spans="1:3" s="18" customFormat="1" ht="24.75" customHeight="1">
      <c r="A8" s="440" t="s">
        <v>104</v>
      </c>
      <c r="B8" s="484">
        <v>0</v>
      </c>
      <c r="C8" s="17"/>
    </row>
    <row r="9" spans="1:3" s="18" customFormat="1" ht="24.75" customHeight="1">
      <c r="A9" s="442" t="s">
        <v>105</v>
      </c>
      <c r="B9" s="485">
        <f>SUM(B10:B14)</f>
        <v>7679</v>
      </c>
      <c r="C9" s="17"/>
    </row>
    <row r="10" spans="1:2" ht="24.75" customHeight="1">
      <c r="A10" s="41" t="s">
        <v>156</v>
      </c>
      <c r="B10" s="322">
        <v>83</v>
      </c>
    </row>
    <row r="11" spans="1:2" ht="24.75" customHeight="1">
      <c r="A11" s="41" t="s">
        <v>157</v>
      </c>
      <c r="B11" s="322">
        <v>296</v>
      </c>
    </row>
    <row r="12" spans="1:2" ht="24.75" customHeight="1">
      <c r="A12" s="41" t="s">
        <v>505</v>
      </c>
      <c r="B12" s="322">
        <v>250</v>
      </c>
    </row>
    <row r="13" spans="1:2" ht="24.75" customHeight="1">
      <c r="A13" s="41" t="s">
        <v>773</v>
      </c>
      <c r="B13" s="322">
        <v>7050</v>
      </c>
    </row>
    <row r="14" spans="1:2" ht="24.75" customHeight="1">
      <c r="A14" s="41" t="s">
        <v>158</v>
      </c>
      <c r="B14" s="322">
        <v>0</v>
      </c>
    </row>
    <row r="15" spans="1:4" s="18" customFormat="1" ht="24.75" customHeight="1">
      <c r="A15" s="444" t="s">
        <v>106</v>
      </c>
      <c r="B15" s="485">
        <f>SUM(B16:B21)</f>
        <v>27207</v>
      </c>
      <c r="C15" s="17"/>
      <c r="D15" s="191"/>
    </row>
    <row r="16" spans="1:6" ht="24.75" customHeight="1">
      <c r="A16" s="41" t="s">
        <v>56</v>
      </c>
      <c r="B16" s="322">
        <v>1545</v>
      </c>
      <c r="F16" s="18"/>
    </row>
    <row r="17" spans="1:8" ht="24.75" customHeight="1">
      <c r="A17" s="41" t="s">
        <v>743</v>
      </c>
      <c r="B17" s="322">
        <f>9099-1934</f>
        <v>7165</v>
      </c>
      <c r="F17" s="18"/>
      <c r="G17" s="370"/>
      <c r="H17" s="370"/>
    </row>
    <row r="18" spans="1:8" ht="24.75" customHeight="1">
      <c r="A18" s="41" t="s">
        <v>502</v>
      </c>
      <c r="B18" s="322">
        <v>8601</v>
      </c>
      <c r="D18" s="371"/>
      <c r="E18" s="334"/>
      <c r="F18" s="18"/>
      <c r="G18" s="191"/>
      <c r="H18" s="191"/>
    </row>
    <row r="19" spans="1:8" ht="24.75" customHeight="1">
      <c r="A19" s="41" t="s">
        <v>503</v>
      </c>
      <c r="B19" s="322">
        <v>7571</v>
      </c>
      <c r="D19" s="371"/>
      <c r="E19" s="334"/>
      <c r="F19" s="18"/>
      <c r="G19" s="191"/>
      <c r="H19" s="191"/>
    </row>
    <row r="20" spans="1:8" ht="24.75" customHeight="1">
      <c r="A20" s="41" t="s">
        <v>504</v>
      </c>
      <c r="B20" s="322">
        <v>2325</v>
      </c>
      <c r="D20" s="371"/>
      <c r="E20" s="334"/>
      <c r="F20" s="18"/>
      <c r="G20" s="191"/>
      <c r="H20" s="191"/>
    </row>
    <row r="21" spans="1:8" ht="24.75" customHeight="1">
      <c r="A21" s="41" t="s">
        <v>57</v>
      </c>
      <c r="B21" s="322">
        <v>0</v>
      </c>
      <c r="D21" s="371"/>
      <c r="E21" s="334"/>
      <c r="F21" s="18"/>
      <c r="G21" s="191"/>
      <c r="H21" s="191"/>
    </row>
    <row r="22" spans="1:8" ht="24.75" customHeight="1">
      <c r="A22" s="444" t="s">
        <v>107</v>
      </c>
      <c r="B22" s="485">
        <f>SUM(B23:B24)</f>
        <v>250</v>
      </c>
      <c r="F22" s="18"/>
      <c r="G22" s="191"/>
      <c r="H22" s="191"/>
    </row>
    <row r="23" spans="1:8" ht="24.75" customHeight="1">
      <c r="A23" s="214" t="s">
        <v>58</v>
      </c>
      <c r="B23" s="322">
        <v>0</v>
      </c>
      <c r="F23" s="18"/>
      <c r="G23" s="191"/>
      <c r="H23" s="191"/>
    </row>
    <row r="24" spans="1:8" ht="24.75" customHeight="1">
      <c r="A24" s="214" t="s">
        <v>59</v>
      </c>
      <c r="B24" s="322">
        <v>250</v>
      </c>
      <c r="D24" s="63"/>
      <c r="F24" s="18"/>
      <c r="G24" s="191"/>
      <c r="H24" s="191"/>
    </row>
    <row r="25" spans="1:8" ht="24.75" customHeight="1">
      <c r="A25" s="444" t="s">
        <v>108</v>
      </c>
      <c r="B25" s="485">
        <f>SUM(B26:B27)</f>
        <v>0</v>
      </c>
      <c r="F25" s="18"/>
      <c r="G25" s="191"/>
      <c r="H25" s="191"/>
    </row>
    <row r="26" spans="1:9" ht="24.75" customHeight="1">
      <c r="A26" s="41" t="s">
        <v>60</v>
      </c>
      <c r="B26" s="322">
        <v>0</v>
      </c>
      <c r="G26" s="63"/>
      <c r="H26" s="63"/>
      <c r="I26" s="334"/>
    </row>
    <row r="27" spans="1:2" ht="24.75" customHeight="1">
      <c r="A27" s="41" t="s">
        <v>61</v>
      </c>
      <c r="B27" s="322">
        <v>0</v>
      </c>
    </row>
    <row r="28" spans="1:9" s="18" customFormat="1" ht="24.75" customHeight="1">
      <c r="A28" s="444" t="s">
        <v>109</v>
      </c>
      <c r="B28" s="485">
        <f>SUM(B29:B32)</f>
        <v>14060</v>
      </c>
      <c r="C28" s="17"/>
      <c r="F28"/>
      <c r="G28"/>
      <c r="H28"/>
      <c r="I28"/>
    </row>
    <row r="29" spans="1:9" ht="24.75" customHeight="1">
      <c r="A29" s="41" t="s">
        <v>62</v>
      </c>
      <c r="B29" s="322">
        <v>4994</v>
      </c>
      <c r="I29" s="18"/>
    </row>
    <row r="30" spans="1:2" ht="24.75" customHeight="1">
      <c r="A30" s="41" t="s">
        <v>63</v>
      </c>
      <c r="B30" s="322">
        <v>0</v>
      </c>
    </row>
    <row r="31" spans="1:8" ht="24.75" customHeight="1">
      <c r="A31" s="41" t="s">
        <v>64</v>
      </c>
      <c r="B31" s="322">
        <f>4994+68+170+1934+1900</f>
        <v>9066</v>
      </c>
      <c r="D31" s="42"/>
      <c r="F31" s="18"/>
      <c r="G31" s="18"/>
      <c r="H31" s="18"/>
    </row>
    <row r="32" spans="1:2" ht="24.75" customHeight="1">
      <c r="A32" s="41" t="s">
        <v>65</v>
      </c>
      <c r="B32" s="322">
        <v>0</v>
      </c>
    </row>
    <row r="33" spans="1:2" ht="24.75" customHeight="1" thickBot="1">
      <c r="A33" s="445"/>
      <c r="B33" s="486"/>
    </row>
    <row r="34" spans="1:9" s="18" customFormat="1" ht="24.75" customHeight="1" thickBot="1">
      <c r="A34" s="183" t="s">
        <v>110</v>
      </c>
      <c r="B34" s="487">
        <f>+B8+B9+B15+B22+B25+B28</f>
        <v>49196</v>
      </c>
      <c r="C34" s="17"/>
      <c r="F34"/>
      <c r="G34"/>
      <c r="H34"/>
      <c r="I34"/>
    </row>
    <row r="35" ht="12.75">
      <c r="I35" s="18"/>
    </row>
    <row r="37" spans="6:8" ht="12.75">
      <c r="F37" s="18"/>
      <c r="G37" s="18"/>
      <c r="H37" s="18"/>
    </row>
    <row r="38" ht="14.25">
      <c r="E38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607</v>
      </c>
      <c r="B2" s="760"/>
      <c r="C2" s="162"/>
      <c r="D2" s="162"/>
    </row>
    <row r="3" ht="13.5" customHeight="1"/>
    <row r="4" spans="1:4" ht="12.75">
      <c r="A4" s="770" t="s">
        <v>608</v>
      </c>
      <c r="B4" s="770"/>
      <c r="C4" s="151"/>
      <c r="D4" s="151"/>
    </row>
    <row r="5" ht="13.5" thickBot="1">
      <c r="B5" s="90" t="s">
        <v>40</v>
      </c>
    </row>
    <row r="6" spans="1:2" ht="20.25" customHeight="1" thickBot="1">
      <c r="A6" s="140" t="s">
        <v>41</v>
      </c>
      <c r="B6" s="163" t="s">
        <v>534</v>
      </c>
    </row>
    <row r="7" spans="1:2" ht="20.25" customHeight="1">
      <c r="A7" s="153" t="s">
        <v>91</v>
      </c>
      <c r="B7" s="305">
        <f>SUM(B8:B11)</f>
        <v>0</v>
      </c>
    </row>
    <row r="8" spans="1:2" ht="20.25" customHeight="1">
      <c r="A8" s="121" t="s">
        <v>212</v>
      </c>
      <c r="B8" s="306">
        <v>0</v>
      </c>
    </row>
    <row r="9" spans="1:2" ht="20.25" customHeight="1">
      <c r="A9" s="121" t="s">
        <v>213</v>
      </c>
      <c r="B9" s="306">
        <v>0</v>
      </c>
    </row>
    <row r="10" spans="1:2" ht="20.25" customHeight="1">
      <c r="A10" s="121" t="s">
        <v>214</v>
      </c>
      <c r="B10" s="306">
        <v>0</v>
      </c>
    </row>
    <row r="11" spans="1:2" ht="20.25" customHeight="1">
      <c r="A11" s="121"/>
      <c r="B11" s="306"/>
    </row>
    <row r="12" spans="1:2" ht="20.25" customHeight="1">
      <c r="A12" s="154" t="s">
        <v>211</v>
      </c>
      <c r="B12" s="307">
        <f>SUM(B13:B17)</f>
        <v>0</v>
      </c>
    </row>
    <row r="13" spans="1:2" ht="20.25" customHeight="1">
      <c r="A13" s="121" t="s">
        <v>215</v>
      </c>
      <c r="B13" s="308">
        <v>0</v>
      </c>
    </row>
    <row r="14" spans="1:2" ht="20.25" customHeight="1">
      <c r="A14" s="121" t="s">
        <v>216</v>
      </c>
      <c r="B14" s="308">
        <v>0</v>
      </c>
    </row>
    <row r="15" spans="1:2" ht="20.25" customHeight="1">
      <c r="A15" s="121" t="s">
        <v>217</v>
      </c>
      <c r="B15" s="308">
        <v>0</v>
      </c>
    </row>
    <row r="16" spans="1:2" ht="20.25" customHeight="1">
      <c r="A16" s="121" t="s">
        <v>218</v>
      </c>
      <c r="B16" s="306">
        <v>0</v>
      </c>
    </row>
    <row r="17" spans="1:2" ht="20.25" customHeight="1" thickBot="1">
      <c r="A17" s="122"/>
      <c r="B17" s="309"/>
    </row>
    <row r="18" spans="1:2" ht="19.5" customHeight="1" thickBot="1">
      <c r="A18" s="296" t="s">
        <v>219</v>
      </c>
      <c r="B18" s="172">
        <f>SUM(+B7+B12)</f>
        <v>0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533</v>
      </c>
      <c r="B2" s="760"/>
      <c r="C2" s="162"/>
      <c r="D2" s="162"/>
    </row>
    <row r="3" ht="13.5" customHeight="1"/>
    <row r="4" spans="1:4" ht="12.75">
      <c r="A4" s="770" t="s">
        <v>366</v>
      </c>
      <c r="B4" s="770"/>
      <c r="C4" s="151"/>
      <c r="D4" s="151"/>
    </row>
    <row r="5" ht="13.5" thickBot="1">
      <c r="B5" s="90" t="s">
        <v>40</v>
      </c>
    </row>
    <row r="6" spans="1:2" ht="27.75" customHeight="1" thickBot="1">
      <c r="A6" s="416" t="s">
        <v>41</v>
      </c>
      <c r="B6" s="417" t="s">
        <v>526</v>
      </c>
    </row>
    <row r="7" spans="1:2" ht="20.25" customHeight="1">
      <c r="A7" s="216" t="s">
        <v>91</v>
      </c>
      <c r="B7" s="218">
        <f>SUM('ÖNK_Felhalmozási és tőke.bev.'!B7+'GAM_Felhalmozási és tőke.bev'!B7)</f>
        <v>3921</v>
      </c>
    </row>
    <row r="8" spans="1:2" ht="20.25" customHeight="1" thickBot="1">
      <c r="A8" s="217" t="s">
        <v>211</v>
      </c>
      <c r="B8" s="219">
        <f>SUM('ÖNK_Felhalmozási és tőke.bev.'!B14)</f>
        <v>13604</v>
      </c>
    </row>
    <row r="9" spans="1:2" ht="19.5" customHeight="1" thickBot="1">
      <c r="A9" s="68" t="s">
        <v>219</v>
      </c>
      <c r="B9" s="172">
        <f>SUM(+B7+B8)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609</v>
      </c>
      <c r="B1" s="769"/>
    </row>
    <row r="2" ht="14.25" customHeight="1"/>
    <row r="3" spans="1:2" ht="12.75">
      <c r="A3" s="770" t="s">
        <v>610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523</v>
      </c>
    </row>
    <row r="6" spans="1:7" ht="21.75" customHeight="1">
      <c r="A6" s="141" t="s">
        <v>93</v>
      </c>
      <c r="B6" s="142">
        <f>SUM(B7:B7)</f>
        <v>26</v>
      </c>
      <c r="C6" s="27"/>
      <c r="E6" s="2"/>
      <c r="F6" s="27"/>
      <c r="G6" s="2"/>
    </row>
    <row r="7" spans="1:7" ht="21.75" customHeight="1">
      <c r="A7" s="121" t="s">
        <v>427</v>
      </c>
      <c r="B7" s="72">
        <v>26</v>
      </c>
      <c r="E7" s="2"/>
      <c r="F7" s="27"/>
      <c r="G7" s="2"/>
    </row>
    <row r="8" spans="1:7" ht="21.75" customHeight="1">
      <c r="A8" s="144" t="s">
        <v>94</v>
      </c>
      <c r="B8" s="145">
        <f>SUM(B9:B9)</f>
        <v>0</v>
      </c>
      <c r="E8" s="2"/>
      <c r="F8" s="27"/>
      <c r="G8" s="2"/>
    </row>
    <row r="9" spans="1:7" ht="21.75" customHeight="1" thickBot="1">
      <c r="A9" s="121" t="s">
        <v>151</v>
      </c>
      <c r="B9" s="128">
        <v>0</v>
      </c>
      <c r="E9" s="2"/>
      <c r="F9" s="27"/>
      <c r="G9" s="2"/>
    </row>
    <row r="10" spans="1:7" ht="21.75" customHeight="1" thickBot="1">
      <c r="A10" s="146" t="s">
        <v>171</v>
      </c>
      <c r="B10" s="147">
        <f>SUM(B6+B8)</f>
        <v>26</v>
      </c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"/>
      <c r="G12" s="2"/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spans="4:6" ht="21.75" customHeight="1">
      <c r="D21" s="2">
        <f>57500*12</f>
        <v>690000</v>
      </c>
      <c r="F21" s="2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>
      <c r="D30" s="2">
        <v>1773000</v>
      </c>
    </row>
    <row r="31" ht="21.75" customHeight="1">
      <c r="D31" s="2">
        <v>3262176</v>
      </c>
    </row>
    <row r="32" ht="21.75" customHeight="1"/>
    <row r="33" spans="5:6" ht="21.75" customHeight="1">
      <c r="E33" s="143" t="s">
        <v>170</v>
      </c>
      <c r="F33" s="63" t="e">
        <f>SUM(#REF!)</f>
        <v>#REF!</v>
      </c>
    </row>
    <row r="34" ht="21.75" customHeight="1"/>
    <row r="35" ht="21.75" customHeight="1">
      <c r="D35" s="2">
        <f>620000+12846900+7315200</f>
        <v>20782100</v>
      </c>
    </row>
    <row r="36" ht="21.75" customHeight="1"/>
    <row r="37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G11" sqref="G11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611</v>
      </c>
      <c r="C2" s="854"/>
    </row>
    <row r="3" spans="2:3" ht="21.75" customHeight="1">
      <c r="B3" s="87"/>
      <c r="C3" s="88"/>
    </row>
    <row r="4" spans="2:3" ht="12.75">
      <c r="B4" s="770" t="s">
        <v>404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214714</v>
      </c>
      <c r="H7"/>
      <c r="I7"/>
      <c r="J7"/>
      <c r="K7"/>
    </row>
    <row r="8" spans="2:11" s="2" customFormat="1" ht="15">
      <c r="B8" s="94" t="s">
        <v>112</v>
      </c>
      <c r="C8" s="93">
        <f>SUM('GAM_működési kiadás'!D18)</f>
        <v>51291</v>
      </c>
      <c r="H8"/>
      <c r="I8"/>
      <c r="J8"/>
      <c r="K8"/>
    </row>
    <row r="9" spans="2:11" s="2" customFormat="1" ht="15">
      <c r="B9" s="94" t="s">
        <v>113</v>
      </c>
      <c r="C9" s="93">
        <f>SUM('GAM_működési kiadás'!E18)</f>
        <v>11246</v>
      </c>
      <c r="H9"/>
      <c r="I9"/>
      <c r="J9"/>
      <c r="K9"/>
    </row>
    <row r="10" spans="2:11" s="2" customFormat="1" ht="15">
      <c r="B10" s="94" t="s">
        <v>114</v>
      </c>
      <c r="C10" s="93">
        <f>SUM('GAM_működési kiadás'!F18)</f>
        <v>152177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4100</v>
      </c>
      <c r="H14"/>
      <c r="I14"/>
      <c r="J14"/>
      <c r="K14"/>
    </row>
    <row r="15" spans="2:11" s="2" customFormat="1" ht="15">
      <c r="B15" s="94" t="s">
        <v>119</v>
      </c>
      <c r="C15" s="93">
        <f>SUM(GAM_Fejlesztések!B8)</f>
        <v>4100</v>
      </c>
      <c r="H15"/>
      <c r="I15"/>
      <c r="J15"/>
      <c r="K15"/>
    </row>
    <row r="16" spans="2:11" s="2" customFormat="1" ht="15">
      <c r="B16" s="94" t="s">
        <v>120</v>
      </c>
      <c r="C16" s="93">
        <f>SUM(GAM_Fejlesztések!B10)</f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218814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H12" sqref="H12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612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752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103" t="s">
        <v>506</v>
      </c>
      <c r="B8" s="104">
        <v>4</v>
      </c>
      <c r="C8" s="105">
        <f aca="true" t="shared" si="0" ref="C8:C16">SUM(D8:F8)</f>
        <v>5804</v>
      </c>
      <c r="D8" s="110">
        <v>4570</v>
      </c>
      <c r="E8" s="110">
        <f>1234-130</f>
        <v>1104</v>
      </c>
      <c r="F8" s="742">
        <f>0+130</f>
        <v>130</v>
      </c>
      <c r="G8" s="363"/>
      <c r="H8" s="364"/>
      <c r="I8" s="364"/>
      <c r="J8" s="364"/>
    </row>
    <row r="9" spans="1:10" s="365" customFormat="1" ht="18.75" customHeight="1" thickBot="1">
      <c r="A9" s="103" t="s">
        <v>507</v>
      </c>
      <c r="B9" s="104">
        <f>5+5</f>
        <v>10</v>
      </c>
      <c r="C9" s="105">
        <f t="shared" si="0"/>
        <v>94528</v>
      </c>
      <c r="D9" s="110">
        <v>11808</v>
      </c>
      <c r="E9" s="110">
        <f>3188-743</f>
        <v>2445</v>
      </c>
      <c r="F9" s="110">
        <f>79532+743</f>
        <v>80275</v>
      </c>
      <c r="G9" s="363"/>
      <c r="H9" s="364"/>
      <c r="I9" s="364"/>
      <c r="J9" s="364"/>
    </row>
    <row r="10" spans="1:10" s="365" customFormat="1" ht="18.75" customHeight="1" thickBot="1">
      <c r="A10" s="22" t="s">
        <v>412</v>
      </c>
      <c r="B10" s="106"/>
      <c r="C10" s="105">
        <f t="shared" si="0"/>
        <v>1545</v>
      </c>
      <c r="D10" s="111">
        <v>0</v>
      </c>
      <c r="E10" s="111">
        <v>0</v>
      </c>
      <c r="F10" s="112">
        <v>1545</v>
      </c>
      <c r="G10" s="363"/>
      <c r="H10" s="364"/>
      <c r="I10" s="364"/>
      <c r="J10" s="364"/>
    </row>
    <row r="11" spans="1:10" s="365" customFormat="1" ht="18.75" customHeight="1" thickBot="1">
      <c r="A11" s="22" t="s">
        <v>508</v>
      </c>
      <c r="B11" s="106">
        <f>4+1+2</f>
        <v>7</v>
      </c>
      <c r="C11" s="105">
        <f t="shared" si="0"/>
        <v>38323</v>
      </c>
      <c r="D11" s="111">
        <v>7966</v>
      </c>
      <c r="E11" s="111">
        <f>2150-601</f>
        <v>1549</v>
      </c>
      <c r="F11" s="112">
        <f>28207+601</f>
        <v>28808</v>
      </c>
      <c r="G11" s="363"/>
      <c r="H11" s="364"/>
      <c r="I11" s="364"/>
      <c r="J11" s="364"/>
    </row>
    <row r="12" spans="1:10" s="365" customFormat="1" ht="18.75" customHeight="1" thickBot="1">
      <c r="A12" s="103" t="s">
        <v>413</v>
      </c>
      <c r="B12" s="104">
        <f>7-4-1</f>
        <v>2</v>
      </c>
      <c r="C12" s="105">
        <f t="shared" si="0"/>
        <v>4395</v>
      </c>
      <c r="D12" s="110">
        <v>2260</v>
      </c>
      <c r="E12" s="110">
        <f>611-135</f>
        <v>476</v>
      </c>
      <c r="F12" s="110">
        <f>1524+135</f>
        <v>1659</v>
      </c>
      <c r="G12" s="363"/>
      <c r="H12" s="364"/>
      <c r="I12" s="364"/>
      <c r="J12" s="364"/>
    </row>
    <row r="13" spans="1:10" s="365" customFormat="1" ht="18.75" customHeight="1" thickBot="1">
      <c r="A13" s="22" t="s">
        <v>414</v>
      </c>
      <c r="B13" s="106"/>
      <c r="C13" s="105">
        <f t="shared" si="0"/>
        <v>3734</v>
      </c>
      <c r="D13" s="111">
        <v>0</v>
      </c>
      <c r="E13" s="111">
        <v>0</v>
      </c>
      <c r="F13" s="112">
        <v>3734</v>
      </c>
      <c r="G13" s="363"/>
      <c r="H13" s="364"/>
      <c r="I13" s="364"/>
      <c r="J13" s="364"/>
    </row>
    <row r="14" spans="1:10" s="365" customFormat="1" ht="18.75" customHeight="1" thickBot="1">
      <c r="A14" s="103" t="s">
        <v>159</v>
      </c>
      <c r="B14" s="104">
        <f>15-2</f>
        <v>13</v>
      </c>
      <c r="C14" s="105">
        <f t="shared" si="0"/>
        <v>60129</v>
      </c>
      <c r="D14" s="110">
        <f>21276+20</f>
        <v>21296</v>
      </c>
      <c r="E14" s="110">
        <f>5744+6-906</f>
        <v>4844</v>
      </c>
      <c r="F14" s="110">
        <f>28583+4500+906</f>
        <v>33989</v>
      </c>
      <c r="G14" s="363"/>
      <c r="H14" s="364"/>
      <c r="I14" s="364"/>
      <c r="J14" s="364"/>
    </row>
    <row r="15" spans="1:10" s="365" customFormat="1" ht="18.75" customHeight="1" thickBot="1">
      <c r="A15" s="22" t="s">
        <v>416</v>
      </c>
      <c r="B15" s="106">
        <v>2</v>
      </c>
      <c r="C15" s="105">
        <f t="shared" si="0"/>
        <v>4656</v>
      </c>
      <c r="D15" s="111">
        <v>3391</v>
      </c>
      <c r="E15" s="111">
        <f>915-87</f>
        <v>828</v>
      </c>
      <c r="F15" s="112">
        <f>350+87</f>
        <v>437</v>
      </c>
      <c r="G15" s="363"/>
      <c r="H15" s="364"/>
      <c r="I15" s="364"/>
      <c r="J15" s="364"/>
    </row>
    <row r="16" spans="1:10" s="365" customFormat="1" ht="18.75" customHeight="1" thickBot="1">
      <c r="A16" s="103" t="s">
        <v>415</v>
      </c>
      <c r="B16" s="104"/>
      <c r="C16" s="105">
        <f t="shared" si="0"/>
        <v>1600</v>
      </c>
      <c r="D16" s="110">
        <v>0</v>
      </c>
      <c r="E16" s="110">
        <v>0</v>
      </c>
      <c r="F16" s="110">
        <v>1600</v>
      </c>
      <c r="G16" s="363"/>
      <c r="H16" s="364"/>
      <c r="I16" s="364"/>
      <c r="J16" s="364"/>
    </row>
    <row r="17" spans="1:11" s="696" customFormat="1" ht="18.75" customHeight="1" thickBot="1">
      <c r="A17" s="693"/>
      <c r="B17" s="694"/>
      <c r="C17" s="698"/>
      <c r="D17" s="717"/>
      <c r="E17" s="717"/>
      <c r="F17" s="718"/>
      <c r="G17" s="695"/>
      <c r="K17" s="697"/>
    </row>
    <row r="18" spans="1:11" s="2" customFormat="1" ht="18.75" customHeight="1" thickBot="1">
      <c r="A18" s="81" t="s">
        <v>44</v>
      </c>
      <c r="B18" s="108">
        <f>SUM(B8:B16)</f>
        <v>38</v>
      </c>
      <c r="C18" s="109">
        <f>SUM(C8:C17)</f>
        <v>214714</v>
      </c>
      <c r="D18" s="109">
        <f>SUM(D8:D17)</f>
        <v>51291</v>
      </c>
      <c r="E18" s="109">
        <f>SUM(E8:E17)</f>
        <v>11246</v>
      </c>
      <c r="F18" s="75">
        <f>SUM(F8:F17)</f>
        <v>152177</v>
      </c>
      <c r="G18" s="1"/>
      <c r="K18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6" ht="15.75">
      <c r="A1" s="755" t="s">
        <v>613</v>
      </c>
      <c r="B1" s="755"/>
      <c r="C1" s="189"/>
      <c r="D1" s="189"/>
      <c r="E1" s="189"/>
      <c r="F1" s="189"/>
    </row>
    <row r="2" spans="2:3" ht="12.75">
      <c r="B2" s="7" t="s">
        <v>753</v>
      </c>
      <c r="C2" s="7"/>
    </row>
    <row r="3" spans="2:3" ht="23.25" customHeight="1" thickBot="1">
      <c r="B3" s="90" t="s">
        <v>40</v>
      </c>
      <c r="C3" s="90"/>
    </row>
    <row r="4" spans="1:6" s="201" customFormat="1" ht="20.25" customHeight="1" thickBot="1">
      <c r="A4" s="140" t="s">
        <v>41</v>
      </c>
      <c r="B4" s="152" t="s">
        <v>73</v>
      </c>
      <c r="C4" s="199"/>
      <c r="D4" s="200"/>
      <c r="E4" s="200"/>
      <c r="F4" s="200"/>
    </row>
    <row r="5" spans="1:6" ht="20.25" customHeight="1">
      <c r="A5" s="117" t="s">
        <v>774</v>
      </c>
      <c r="B5" s="743">
        <v>3500</v>
      </c>
      <c r="C5" s="204"/>
      <c r="D5" s="27"/>
      <c r="F5" s="27"/>
    </row>
    <row r="6" spans="1:6" ht="20.25" customHeight="1">
      <c r="A6" s="117" t="s">
        <v>775</v>
      </c>
      <c r="B6" s="743">
        <v>500</v>
      </c>
      <c r="C6" s="204"/>
      <c r="D6" s="27"/>
      <c r="F6" s="27"/>
    </row>
    <row r="7" spans="1:6" ht="20.25" customHeight="1">
      <c r="A7" s="117" t="s">
        <v>776</v>
      </c>
      <c r="B7" s="743">
        <v>100</v>
      </c>
      <c r="C7" s="204"/>
      <c r="D7" s="27"/>
      <c r="F7" s="27"/>
    </row>
    <row r="8" spans="1:4" ht="20.25" customHeight="1">
      <c r="A8" s="144" t="s">
        <v>274</v>
      </c>
      <c r="B8" s="312">
        <f>SUM(B5:B7)</f>
        <v>4100</v>
      </c>
      <c r="C8" s="204"/>
      <c r="D8" s="27"/>
    </row>
    <row r="9" spans="1:4" ht="20.25" customHeight="1">
      <c r="A9" s="202"/>
      <c r="B9" s="311">
        <v>0</v>
      </c>
      <c r="C9" s="204"/>
      <c r="D9" s="27"/>
    </row>
    <row r="10" spans="1:4" ht="20.25" customHeight="1" thickBot="1">
      <c r="A10" s="144" t="s">
        <v>275</v>
      </c>
      <c r="B10" s="313">
        <f>SUM(B9:B9)</f>
        <v>0</v>
      </c>
      <c r="C10" s="204"/>
      <c r="D10" s="27"/>
    </row>
    <row r="11" spans="1:4" ht="20.25" customHeight="1" thickBot="1">
      <c r="A11" s="22" t="s">
        <v>276</v>
      </c>
      <c r="B11" s="205">
        <f>SUM(B10,B8)</f>
        <v>4100</v>
      </c>
      <c r="C11" s="204"/>
      <c r="D11" s="27"/>
    </row>
    <row r="12" spans="3:4" ht="20.25" customHeight="1">
      <c r="C12" s="204"/>
      <c r="D12" s="27"/>
    </row>
    <row r="13" spans="3:4" ht="20.25" customHeight="1">
      <c r="C13" s="204"/>
      <c r="D13" s="27"/>
    </row>
    <row r="14" spans="3:4" ht="20.25" customHeight="1">
      <c r="C14" s="204"/>
      <c r="D14" s="27"/>
    </row>
    <row r="15" spans="3:4" ht="20.25" customHeight="1">
      <c r="C15" s="204"/>
      <c r="D15" s="27"/>
    </row>
    <row r="16" spans="3:4" ht="20.25" customHeight="1">
      <c r="C16" s="204"/>
      <c r="D16" s="27"/>
    </row>
    <row r="17" spans="3:4" ht="20.25" customHeight="1">
      <c r="C17" s="204"/>
      <c r="D17" s="27"/>
    </row>
    <row r="18" spans="3:4" ht="20.25" customHeight="1">
      <c r="C18" s="206"/>
      <c r="D18" s="27"/>
    </row>
    <row r="19" spans="3:6" ht="20.25" customHeight="1">
      <c r="C19" s="204"/>
      <c r="D19" s="27"/>
      <c r="F19" s="27"/>
    </row>
    <row r="20" spans="3:6" ht="20.25" customHeight="1">
      <c r="C20" s="204"/>
      <c r="D20" s="27"/>
      <c r="F20" s="27"/>
    </row>
    <row r="21" spans="3:4" ht="20.25" customHeight="1">
      <c r="C21" s="204"/>
      <c r="D21" s="27"/>
    </row>
    <row r="22" spans="1:6" s="201" customFormat="1" ht="20.25" customHeight="1">
      <c r="A22" s="2"/>
      <c r="B22" s="30"/>
      <c r="C22" s="204"/>
      <c r="D22" s="203"/>
      <c r="E22" s="200"/>
      <c r="F22" s="200"/>
    </row>
    <row r="23" spans="3:4" ht="20.25" customHeight="1">
      <c r="C23" s="204"/>
      <c r="D23" s="27"/>
    </row>
    <row r="24" spans="3:4" ht="20.25" customHeight="1">
      <c r="C24" s="204"/>
      <c r="D24" s="27"/>
    </row>
    <row r="25" spans="3:4" ht="20.25" customHeight="1">
      <c r="C25" s="206"/>
      <c r="D25" s="27"/>
    </row>
    <row r="26" spans="3:4" ht="20.25" customHeight="1">
      <c r="C26" s="207"/>
      <c r="D26" s="27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5" sqref="E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SUM('GAM_Összes bevétel'!B17)</f>
        <v>0</v>
      </c>
      <c r="E4" s="119" t="s">
        <v>119</v>
      </c>
      <c r="F4" s="120">
        <f>SUM('GAM_Összes kiadás'!C15)</f>
        <v>4100</v>
      </c>
    </row>
    <row r="5" spans="2:11" ht="15" customHeight="1">
      <c r="B5" s="86" t="s">
        <v>94</v>
      </c>
      <c r="C5" s="72">
        <f>SUM('GAM_Összes bevétel'!B20)</f>
        <v>0</v>
      </c>
      <c r="E5" s="121" t="s">
        <v>120</v>
      </c>
      <c r="F5" s="72">
        <f>SUM('GAM_Összes kiadás'!C16)</f>
        <v>0</v>
      </c>
      <c r="K5" s="63"/>
    </row>
    <row r="6" spans="2:6" ht="15" customHeight="1">
      <c r="B6" s="86" t="s">
        <v>127</v>
      </c>
      <c r="C6" s="72">
        <f>SUM('GAM_Összes bevétel'!B23)</f>
        <v>0</v>
      </c>
      <c r="E6" s="121" t="s">
        <v>121</v>
      </c>
      <c r="F6" s="72">
        <f>SUM('GAM_Összes kiadás'!C17)</f>
        <v>0</v>
      </c>
    </row>
    <row r="7" spans="2:6" ht="15" customHeight="1">
      <c r="B7" s="55" t="s">
        <v>128</v>
      </c>
      <c r="C7" s="72">
        <f>SUM('GAM_Összes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SUM('GAM_Összes bevétel'!B34)</f>
        <v>4100</v>
      </c>
      <c r="E8" s="123"/>
      <c r="F8" s="128"/>
    </row>
    <row r="9" spans="2:11" ht="15" customHeight="1" thickBot="1">
      <c r="B9" s="115" t="s">
        <v>75</v>
      </c>
      <c r="C9" s="125">
        <f>SUM(C4:C8)</f>
        <v>4100</v>
      </c>
      <c r="E9" s="115" t="s">
        <v>76</v>
      </c>
      <c r="F9" s="125">
        <f>SUM(F4:F8)</f>
        <v>4100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SUM('GAM_Összes bevétel'!B8)</f>
        <v>49196</v>
      </c>
      <c r="E12" s="117" t="s">
        <v>112</v>
      </c>
      <c r="F12" s="118">
        <f>SUM('GAM_Összes kiadás'!C8)</f>
        <v>51291</v>
      </c>
      <c r="K12" s="63"/>
    </row>
    <row r="13" spans="2:6" ht="15" customHeight="1">
      <c r="B13" s="86" t="s">
        <v>93</v>
      </c>
      <c r="C13" s="72">
        <f>SUM('GAM_Összes bevétel'!B19)</f>
        <v>26</v>
      </c>
      <c r="E13" s="121" t="s">
        <v>113</v>
      </c>
      <c r="F13" s="72">
        <f>SUM('GAM_Összes kiadás'!C9)</f>
        <v>11246</v>
      </c>
    </row>
    <row r="14" spans="2:8" ht="15" customHeight="1">
      <c r="B14" s="86" t="s">
        <v>96</v>
      </c>
      <c r="C14" s="72">
        <f>SUM('GAM_Összes bevétel'!B22)</f>
        <v>0</v>
      </c>
      <c r="E14" s="121" t="s">
        <v>114</v>
      </c>
      <c r="F14" s="72">
        <f>SUM('GAM_Összes kiadás'!C10)</f>
        <v>152177</v>
      </c>
      <c r="H14" s="27"/>
    </row>
    <row r="15" spans="2:6" ht="15" customHeight="1">
      <c r="B15" s="55" t="s">
        <v>131</v>
      </c>
      <c r="C15" s="72">
        <f>SUM('GAM_Összes bevétel'!B27)</f>
        <v>3804</v>
      </c>
      <c r="E15" s="121" t="s">
        <v>115</v>
      </c>
      <c r="F15" s="72">
        <f>SUM('GAM_Összes kiadás'!C11)</f>
        <v>0</v>
      </c>
    </row>
    <row r="16" spans="1:9" s="18" customFormat="1" ht="15" customHeight="1">
      <c r="A16" s="17"/>
      <c r="B16" s="121" t="s">
        <v>277</v>
      </c>
      <c r="C16" s="72">
        <f>SUM('GAM_Összes bevétel'!B30)</f>
        <v>0</v>
      </c>
      <c r="D16" s="17"/>
      <c r="E16" s="122" t="s">
        <v>280</v>
      </c>
      <c r="F16" s="73">
        <f>SUM('GAM_Összes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SUM('GAM_Összes bevétel'!B33)</f>
        <v>161688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214714</v>
      </c>
      <c r="E19" s="115" t="s">
        <v>80</v>
      </c>
      <c r="F19" s="125">
        <f>SUM(F12:F18)</f>
        <v>214714</v>
      </c>
      <c r="H19" s="27">
        <f>SUM(C19-F19)</f>
        <v>0</v>
      </c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218814</v>
      </c>
      <c r="E21" s="115" t="s">
        <v>130</v>
      </c>
      <c r="F21" s="125">
        <f>+F9+F19</f>
        <v>218814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45" bottom="0.68" header="0.68" footer="0.5118110236220472"/>
  <pageSetup horizontalDpi="600" verticalDpi="600" orientation="landscape" paperSize="9" scale="91" r:id="rId1"/>
  <headerFooter alignWithMargins="0">
    <oddHeader>&amp;C&amp;"Arial CE,Félkövér"&amp;14GAMESZ 2013. évi felhalmozási és működési mérlege&amp;R60. melléklet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2"/>
  <sheetViews>
    <sheetView zoomScalePageLayoutView="0" workbookViewId="0" topLeftCell="C4">
      <selection activeCell="O31" sqref="O31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434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SUM('GAM_Összes bevétel'!B7)</f>
        <v>49196</v>
      </c>
      <c r="D8" s="524">
        <v>2250</v>
      </c>
      <c r="E8" s="525">
        <v>2251</v>
      </c>
      <c r="F8" s="525">
        <v>2250</v>
      </c>
      <c r="G8" s="525">
        <v>2413</v>
      </c>
      <c r="H8" s="525">
        <v>2412</v>
      </c>
      <c r="I8" s="525">
        <v>2413</v>
      </c>
      <c r="J8" s="525">
        <v>7031</v>
      </c>
      <c r="K8" s="525">
        <v>3845</v>
      </c>
      <c r="L8" s="525">
        <v>3845</v>
      </c>
      <c r="M8" s="525">
        <v>6829</v>
      </c>
      <c r="N8" s="525">
        <v>6828</v>
      </c>
      <c r="O8" s="526">
        <f aca="true" t="shared" si="0" ref="O8:O15">+C8-D8-E8-F8-G8-H8-I8-J8-K8-L8-M8-N8</f>
        <v>6829</v>
      </c>
    </row>
    <row r="9" spans="2:15" s="429" customFormat="1" ht="12.75">
      <c r="B9" s="527" t="s">
        <v>89</v>
      </c>
      <c r="C9" s="512">
        <f>SUM('GAM_Összes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</row>
    <row r="10" spans="2:15" s="429" customFormat="1" ht="12.75">
      <c r="B10" s="527" t="s">
        <v>90</v>
      </c>
      <c r="C10" s="512">
        <f>SUM('GAM_Összes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</row>
    <row r="11" spans="2:15" s="429" customFormat="1" ht="12.75">
      <c r="B11" s="527" t="s">
        <v>92</v>
      </c>
      <c r="C11" s="512">
        <f>SUM('GAM_Összes bevétel'!B18)</f>
        <v>26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26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</row>
    <row r="12" spans="2:15" s="429" customFormat="1" ht="12.75">
      <c r="B12" s="527" t="s">
        <v>95</v>
      </c>
      <c r="C12" s="512">
        <f>SUM('GAM_Összes bevétel'!B21)</f>
        <v>0</v>
      </c>
      <c r="D12" s="528">
        <v>0</v>
      </c>
      <c r="E12" s="529">
        <v>0</v>
      </c>
      <c r="F12" s="529">
        <v>0</v>
      </c>
      <c r="G12" s="529">
        <v>0</v>
      </c>
      <c r="H12" s="529">
        <v>0</v>
      </c>
      <c r="I12" s="529">
        <v>0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</row>
    <row r="13" spans="2:15" s="429" customFormat="1" ht="25.5">
      <c r="B13" s="531" t="s">
        <v>146</v>
      </c>
      <c r="C13" s="512">
        <f>SUM('GAM_Összes bevétel'!B25)</f>
        <v>3804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3804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</row>
    <row r="14" spans="2:15" s="429" customFormat="1" ht="12.75">
      <c r="B14" s="527" t="s">
        <v>277</v>
      </c>
      <c r="C14" s="512">
        <f>SUM('GAM_Összes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</row>
    <row r="15" spans="2:15" s="478" customFormat="1" ht="13.5" thickBot="1">
      <c r="B15" s="532" t="s">
        <v>282</v>
      </c>
      <c r="C15" s="533">
        <f>SUM('GAM_Összes bevétel'!B32)</f>
        <v>165788</v>
      </c>
      <c r="D15" s="534">
        <f>SUM(D30-D8)</f>
        <v>9407</v>
      </c>
      <c r="E15" s="534">
        <f aca="true" t="shared" si="1" ref="E15:L15">SUM(E30-E8)</f>
        <v>9407</v>
      </c>
      <c r="F15" s="534">
        <f t="shared" si="1"/>
        <v>9407</v>
      </c>
      <c r="G15" s="534">
        <f>SUM(G30-G8-G13)</f>
        <v>13892</v>
      </c>
      <c r="H15" s="534">
        <f>SUM(H30-H8-H10-H11)</f>
        <v>13893</v>
      </c>
      <c r="I15" s="534">
        <f>SUM(I30-I8-I11-I13)</f>
        <v>9580</v>
      </c>
      <c r="J15" s="534">
        <f t="shared" si="1"/>
        <v>10201</v>
      </c>
      <c r="K15" s="534">
        <f t="shared" si="1"/>
        <v>18036</v>
      </c>
      <c r="L15" s="534">
        <f t="shared" si="1"/>
        <v>18036</v>
      </c>
      <c r="M15" s="534">
        <v>16609</v>
      </c>
      <c r="N15" s="534">
        <v>16714</v>
      </c>
      <c r="O15" s="535">
        <f t="shared" si="0"/>
        <v>20606</v>
      </c>
    </row>
    <row r="16" spans="2:15" s="429" customFormat="1" ht="13.5" thickBot="1">
      <c r="B16" s="537" t="s">
        <v>147</v>
      </c>
      <c r="C16" s="538">
        <f aca="true" t="shared" si="2" ref="C16:O16">SUM(C8:C15)</f>
        <v>218814</v>
      </c>
      <c r="D16" s="539">
        <f t="shared" si="2"/>
        <v>11657</v>
      </c>
      <c r="E16" s="539">
        <f t="shared" si="2"/>
        <v>11658</v>
      </c>
      <c r="F16" s="539">
        <f t="shared" si="2"/>
        <v>11657</v>
      </c>
      <c r="G16" s="539">
        <f t="shared" si="2"/>
        <v>16305</v>
      </c>
      <c r="H16" s="539">
        <f t="shared" si="2"/>
        <v>16305</v>
      </c>
      <c r="I16" s="539">
        <f t="shared" si="2"/>
        <v>15823</v>
      </c>
      <c r="J16" s="539">
        <f t="shared" si="2"/>
        <v>17232</v>
      </c>
      <c r="K16" s="539">
        <f t="shared" si="2"/>
        <v>21881</v>
      </c>
      <c r="L16" s="539">
        <f t="shared" si="2"/>
        <v>21881</v>
      </c>
      <c r="M16" s="539">
        <f t="shared" si="2"/>
        <v>23438</v>
      </c>
      <c r="N16" s="539">
        <f t="shared" si="2"/>
        <v>23542</v>
      </c>
      <c r="O16" s="539">
        <f t="shared" si="2"/>
        <v>27435</v>
      </c>
    </row>
    <row r="17" spans="2:15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</row>
    <row r="18" spans="2:15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</row>
    <row r="19" spans="2:15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</row>
    <row r="20" spans="2:15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SUM('GAM_Összes kiadás'!C8)</f>
        <v>51291</v>
      </c>
      <c r="D22" s="543">
        <v>4243</v>
      </c>
      <c r="E22" s="525">
        <v>4244</v>
      </c>
      <c r="F22" s="525">
        <v>4243</v>
      </c>
      <c r="G22" s="525">
        <v>3560</v>
      </c>
      <c r="H22" s="525">
        <v>3561</v>
      </c>
      <c r="I22" s="525">
        <v>3560</v>
      </c>
      <c r="J22" s="525">
        <v>4181</v>
      </c>
      <c r="K22" s="525">
        <v>4736</v>
      </c>
      <c r="L22" s="525">
        <v>4736</v>
      </c>
      <c r="M22" s="525">
        <v>4742</v>
      </c>
      <c r="N22" s="525">
        <v>4743</v>
      </c>
      <c r="O22" s="526">
        <f aca="true" t="shared" si="3" ref="O22:O30">+C22-D22-E22-F22-G22-H22-I22-J22-K22-L22-M22-N22</f>
        <v>4742</v>
      </c>
    </row>
    <row r="23" spans="2:15" s="429" customFormat="1" ht="12.75">
      <c r="B23" s="544" t="s">
        <v>113</v>
      </c>
      <c r="C23" s="512">
        <f>SUM('GAM_Összes kiadás'!C9)</f>
        <v>11246</v>
      </c>
      <c r="D23" s="545">
        <v>1136</v>
      </c>
      <c r="E23" s="529">
        <v>1136</v>
      </c>
      <c r="F23" s="529">
        <v>1136</v>
      </c>
      <c r="G23" s="529">
        <v>593</v>
      </c>
      <c r="H23" s="529">
        <v>592</v>
      </c>
      <c r="I23" s="529">
        <v>593</v>
      </c>
      <c r="J23" s="529">
        <v>901</v>
      </c>
      <c r="K23" s="529">
        <v>1551</v>
      </c>
      <c r="L23" s="529">
        <v>1551</v>
      </c>
      <c r="M23" s="529">
        <v>686</v>
      </c>
      <c r="N23" s="529">
        <v>685</v>
      </c>
      <c r="O23" s="530">
        <f t="shared" si="3"/>
        <v>686</v>
      </c>
    </row>
    <row r="24" spans="2:15" s="429" customFormat="1" ht="12.75">
      <c r="B24" s="544" t="s">
        <v>114</v>
      </c>
      <c r="C24" s="512">
        <f>SUM('GAM_Összes kiadás'!C10)</f>
        <v>152177</v>
      </c>
      <c r="D24" s="545">
        <v>6278</v>
      </c>
      <c r="E24" s="529">
        <v>6278</v>
      </c>
      <c r="F24" s="529">
        <v>6278</v>
      </c>
      <c r="G24" s="529">
        <v>12152</v>
      </c>
      <c r="H24" s="529">
        <v>12152</v>
      </c>
      <c r="I24" s="529">
        <v>12152</v>
      </c>
      <c r="J24" s="529">
        <v>11465</v>
      </c>
      <c r="K24" s="529">
        <v>15594</v>
      </c>
      <c r="L24" s="529">
        <v>15594</v>
      </c>
      <c r="M24" s="529">
        <v>18078</v>
      </c>
      <c r="N24" s="529">
        <v>18078</v>
      </c>
      <c r="O24" s="530">
        <f t="shared" si="3"/>
        <v>18078</v>
      </c>
    </row>
    <row r="25" spans="2:15" s="429" customFormat="1" ht="12.75">
      <c r="B25" s="546" t="s">
        <v>115</v>
      </c>
      <c r="C25" s="512">
        <f>SUM('GAM_Összes kiadás'!C11)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</row>
    <row r="26" spans="2:15" s="429" customFormat="1" ht="12.75">
      <c r="B26" s="544" t="s">
        <v>119</v>
      </c>
      <c r="C26" s="512">
        <v>4100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103</v>
      </c>
      <c r="O26" s="530">
        <f t="shared" si="3"/>
        <v>3997</v>
      </c>
    </row>
    <row r="27" spans="2:15" s="429" customFormat="1" ht="12.75">
      <c r="B27" s="544" t="s">
        <v>120</v>
      </c>
      <c r="C27" s="512">
        <f>SUM('GAM_Összes kiadás'!C13)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</row>
    <row r="28" spans="2:15" s="429" customFormat="1" ht="12.75">
      <c r="B28" s="544" t="s">
        <v>121</v>
      </c>
      <c r="C28" s="512"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</row>
    <row r="29" spans="2:15" s="429" customFormat="1" ht="13.5" thickBot="1">
      <c r="B29" s="544" t="s">
        <v>280</v>
      </c>
      <c r="C29" s="512">
        <f>SUM('GAM_Összes kiadás'!C20)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-482</v>
      </c>
      <c r="J29" s="529">
        <v>685</v>
      </c>
      <c r="K29" s="529">
        <v>0</v>
      </c>
      <c r="L29" s="529">
        <v>0</v>
      </c>
      <c r="M29" s="529">
        <v>-68</v>
      </c>
      <c r="N29" s="529">
        <v>-67</v>
      </c>
      <c r="O29" s="530">
        <f t="shared" si="3"/>
        <v>-68</v>
      </c>
    </row>
    <row r="30" spans="2:15" s="429" customFormat="1" ht="13.5" thickBot="1">
      <c r="B30" s="537" t="s">
        <v>148</v>
      </c>
      <c r="C30" s="538">
        <f aca="true" t="shared" si="4" ref="C30:N30">SUM(C22:C29)</f>
        <v>218814</v>
      </c>
      <c r="D30" s="539">
        <f t="shared" si="4"/>
        <v>11657</v>
      </c>
      <c r="E30" s="539">
        <f t="shared" si="4"/>
        <v>11658</v>
      </c>
      <c r="F30" s="539">
        <f t="shared" si="4"/>
        <v>11657</v>
      </c>
      <c r="G30" s="539">
        <f t="shared" si="4"/>
        <v>16305</v>
      </c>
      <c r="H30" s="539">
        <f t="shared" si="4"/>
        <v>16305</v>
      </c>
      <c r="I30" s="539">
        <f t="shared" si="4"/>
        <v>15823</v>
      </c>
      <c r="J30" s="539">
        <f t="shared" si="4"/>
        <v>17232</v>
      </c>
      <c r="K30" s="539">
        <f t="shared" si="4"/>
        <v>21881</v>
      </c>
      <c r="L30" s="539">
        <f t="shared" si="4"/>
        <v>21881</v>
      </c>
      <c r="M30" s="539">
        <f t="shared" si="4"/>
        <v>23438</v>
      </c>
      <c r="N30" s="539">
        <f t="shared" si="4"/>
        <v>23542</v>
      </c>
      <c r="O30" s="539">
        <f t="shared" si="3"/>
        <v>27435</v>
      </c>
    </row>
    <row r="32" spans="3:10" ht="12.75">
      <c r="C32" s="27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8"/>
  <sheetViews>
    <sheetView zoomScalePageLayoutView="0" workbookViewId="0" topLeftCell="D1">
      <selection activeCell="R18" sqref="R1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615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405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3">
        <v>3420</v>
      </c>
      <c r="E8" s="550">
        <f aca="true" t="shared" si="0" ref="E8:O8">SUM(D26)</f>
        <v>4650</v>
      </c>
      <c r="F8" s="551">
        <f t="shared" si="0"/>
        <v>5881</v>
      </c>
      <c r="G8" s="551">
        <f t="shared" si="0"/>
        <v>7111</v>
      </c>
      <c r="H8" s="551">
        <f t="shared" si="0"/>
        <v>4844</v>
      </c>
      <c r="I8" s="551">
        <f t="shared" si="0"/>
        <v>2576</v>
      </c>
      <c r="J8" s="551">
        <f t="shared" si="0"/>
        <v>817</v>
      </c>
      <c r="K8" s="551">
        <f t="shared" si="0"/>
        <v>2267</v>
      </c>
      <c r="L8" s="551">
        <f t="shared" si="0"/>
        <v>2313</v>
      </c>
      <c r="M8" s="551">
        <f t="shared" si="0"/>
        <v>2409</v>
      </c>
      <c r="N8" s="551">
        <f t="shared" si="0"/>
        <v>2771</v>
      </c>
      <c r="O8" s="552">
        <f t="shared" si="0"/>
        <v>3768</v>
      </c>
      <c r="P8" s="553"/>
    </row>
    <row r="9" spans="2:16" s="429" customFormat="1" ht="12.75">
      <c r="B9" s="522" t="s">
        <v>81</v>
      </c>
      <c r="C9" s="554"/>
      <c r="D9" s="524">
        <f>SUM('GAM_Ei.felhaszn.'!D8)</f>
        <v>2250</v>
      </c>
      <c r="E9" s="525">
        <f>SUM('GAM_Ei.felhaszn.'!E8)</f>
        <v>2251</v>
      </c>
      <c r="F9" s="525">
        <f>SUM('GAM_Ei.felhaszn.'!F8)</f>
        <v>2250</v>
      </c>
      <c r="G9" s="525">
        <f>SUM('GAM_Ei.felhaszn.'!G8)</f>
        <v>2413</v>
      </c>
      <c r="H9" s="525">
        <f>SUM('GAM_Ei.felhaszn.'!H8)</f>
        <v>2412</v>
      </c>
      <c r="I9" s="525">
        <f>SUM('GAM_Ei.felhaszn.'!I8)</f>
        <v>2413</v>
      </c>
      <c r="J9" s="525">
        <f>SUM('GAM_Ei.felhaszn.'!J8)</f>
        <v>7031</v>
      </c>
      <c r="K9" s="525">
        <v>11014</v>
      </c>
      <c r="L9" s="525">
        <v>3565</v>
      </c>
      <c r="M9" s="525">
        <v>4928</v>
      </c>
      <c r="N9" s="525">
        <v>5796</v>
      </c>
      <c r="O9" s="526">
        <f aca="true" t="shared" si="1" ref="O9:O14">+P9-D9-E9-F9-G9-H9-I9-J9-K9-L9-M9-N9</f>
        <v>2873</v>
      </c>
      <c r="P9" s="523">
        <f>SUM('GAM_Ei.felhaszn.'!C8)</f>
        <v>49196</v>
      </c>
    </row>
    <row r="10" spans="2:16" s="429" customFormat="1" ht="12.75">
      <c r="B10" s="527" t="s">
        <v>89</v>
      </c>
      <c r="C10" s="555"/>
      <c r="D10" s="528">
        <f>SUM('GAM_Ei.felhaszn.'!D9)</f>
        <v>0</v>
      </c>
      <c r="E10" s="529">
        <f>SUM('GAM_Ei.felhaszn.'!E9)</f>
        <v>0</v>
      </c>
      <c r="F10" s="529">
        <f>SUM('GAM_Ei.felhaszn.'!F9)</f>
        <v>0</v>
      </c>
      <c r="G10" s="529">
        <f>SUM('GAM_Ei.felhaszn.'!G9)</f>
        <v>0</v>
      </c>
      <c r="H10" s="529">
        <f>SUM('GAM_Ei.felhaszn.'!H9)</f>
        <v>0</v>
      </c>
      <c r="I10" s="529">
        <f>SUM('GAM_Ei.felhaszn.'!I9)</f>
        <v>0</v>
      </c>
      <c r="J10" s="529">
        <f>SUM('GAM_Ei.felhaszn.'!J9)</f>
        <v>0</v>
      </c>
      <c r="K10" s="529">
        <f>SUM('GAM_Ei.felhaszn.'!K9)</f>
        <v>0</v>
      </c>
      <c r="L10" s="529">
        <f>SUM('GAM_Ei.felhaszn.'!L9)</f>
        <v>0</v>
      </c>
      <c r="M10" s="529">
        <f>SUM('GAM_Ei.felhaszn.'!M9)</f>
        <v>0</v>
      </c>
      <c r="N10" s="529">
        <f>SUM('GAM_Ei.felhaszn.'!N9)</f>
        <v>0</v>
      </c>
      <c r="O10" s="530">
        <f t="shared" si="1"/>
        <v>0</v>
      </c>
      <c r="P10" s="512">
        <f>SUM('GAM_Ei.felhaszn.'!C9)</f>
        <v>0</v>
      </c>
    </row>
    <row r="11" spans="2:16" s="429" customFormat="1" ht="12.75">
      <c r="B11" s="527" t="s">
        <v>90</v>
      </c>
      <c r="C11" s="555"/>
      <c r="D11" s="528">
        <f>SUM('GAM_Ei.felhaszn.'!D10)</f>
        <v>0</v>
      </c>
      <c r="E11" s="529">
        <f>SUM('GAM_Ei.felhaszn.'!E10)</f>
        <v>0</v>
      </c>
      <c r="F11" s="529">
        <f>SUM('GAM_Ei.felhaszn.'!F10)</f>
        <v>0</v>
      </c>
      <c r="G11" s="529">
        <f>SUM('GAM_Ei.felhaszn.'!G10)</f>
        <v>0</v>
      </c>
      <c r="H11" s="529">
        <v>0</v>
      </c>
      <c r="I11" s="529">
        <f>SUM('GAM_Ei.felhaszn.'!I10)</f>
        <v>0</v>
      </c>
      <c r="J11" s="529">
        <f>SUM('GAM_Ei.felhaszn.'!J10)</f>
        <v>0</v>
      </c>
      <c r="K11" s="529">
        <f>SUM('GAM_Ei.felhaszn.'!K10)</f>
        <v>0</v>
      </c>
      <c r="L11" s="529">
        <f>SUM('GAM_Ei.felhaszn.'!L10)</f>
        <v>0</v>
      </c>
      <c r="M11" s="529">
        <f>SUM('GAM_Ei.felhaszn.'!M10)</f>
        <v>0</v>
      </c>
      <c r="N11" s="529">
        <f>SUM('GAM_Ei.felhaszn.'!N10)</f>
        <v>0</v>
      </c>
      <c r="O11" s="530">
        <f t="shared" si="1"/>
        <v>0</v>
      </c>
      <c r="P11" s="512">
        <v>0</v>
      </c>
    </row>
    <row r="12" spans="2:16" s="429" customFormat="1" ht="12.75">
      <c r="B12" s="527" t="s">
        <v>92</v>
      </c>
      <c r="C12" s="555"/>
      <c r="D12" s="528">
        <f>SUM('GAM_Ei.felhaszn.'!D11)</f>
        <v>0</v>
      </c>
      <c r="E12" s="529">
        <f>SUM('GAM_Ei.felhaszn.'!E11)</f>
        <v>0</v>
      </c>
      <c r="F12" s="529">
        <f>SUM('GAM_Ei.felhaszn.'!F11)</f>
        <v>0</v>
      </c>
      <c r="G12" s="529">
        <f>SUM('GAM_Ei.felhaszn.'!G11)</f>
        <v>0</v>
      </c>
      <c r="H12" s="529">
        <v>0</v>
      </c>
      <c r="I12" s="529">
        <f>SUM('GAM_Ei.felhaszn.'!I11)</f>
        <v>26</v>
      </c>
      <c r="J12" s="529">
        <f>SUM('GAM_Ei.felhaszn.'!J11)</f>
        <v>0</v>
      </c>
      <c r="K12" s="529">
        <f>SUM('GAM_Ei.felhaszn.'!K11)</f>
        <v>0</v>
      </c>
      <c r="L12" s="529">
        <f>SUM('GAM_Ei.felhaszn.'!L11)</f>
        <v>0</v>
      </c>
      <c r="M12" s="529">
        <f>SUM('GAM_Ei.felhaszn.'!M11)</f>
        <v>0</v>
      </c>
      <c r="N12" s="529">
        <f>SUM('GAM_Ei.felhaszn.'!N11)</f>
        <v>0</v>
      </c>
      <c r="O12" s="530">
        <v>0</v>
      </c>
      <c r="P12" s="512">
        <f>SUM(D12:O12)</f>
        <v>26</v>
      </c>
    </row>
    <row r="13" spans="2:16" s="429" customFormat="1" ht="12.75">
      <c r="B13" s="527" t="s">
        <v>95</v>
      </c>
      <c r="C13" s="555"/>
      <c r="D13" s="528">
        <f>SUM('GAM_Ei.felhaszn.'!D12)</f>
        <v>0</v>
      </c>
      <c r="E13" s="529">
        <f>SUM('GAM_Ei.felhaszn.'!E12)</f>
        <v>0</v>
      </c>
      <c r="F13" s="529">
        <f>SUM('GAM_Ei.felhaszn.'!F12)</f>
        <v>0</v>
      </c>
      <c r="G13" s="529">
        <f>SUM('GAM_Ei.felhaszn.'!G12)</f>
        <v>0</v>
      </c>
      <c r="H13" s="529">
        <f>SUM('GAM_Ei.felhaszn.'!H12)</f>
        <v>0</v>
      </c>
      <c r="I13" s="529">
        <f>SUM('GAM_Ei.felhaszn.'!I12)</f>
        <v>0</v>
      </c>
      <c r="J13" s="529">
        <f>SUM('GAM_Ei.felhaszn.'!J12)</f>
        <v>0</v>
      </c>
      <c r="K13" s="529">
        <f>SUM('GAM_Ei.felhaszn.'!K12)</f>
        <v>0</v>
      </c>
      <c r="L13" s="529">
        <f>SUM('GAM_Ei.felhaszn.'!L12)</f>
        <v>0</v>
      </c>
      <c r="M13" s="529">
        <f>SUM('GAM_Ei.felhaszn.'!M12)</f>
        <v>0</v>
      </c>
      <c r="N13" s="529">
        <f>SUM('GAM_Ei.felhaszn.'!N12)</f>
        <v>0</v>
      </c>
      <c r="O13" s="530">
        <f t="shared" si="1"/>
        <v>0</v>
      </c>
      <c r="P13" s="512">
        <f>SUM('GAM_Ei.felhaszn.'!C12)</f>
        <v>0</v>
      </c>
    </row>
    <row r="14" spans="2:16" s="429" customFormat="1" ht="12.75">
      <c r="B14" s="527" t="s">
        <v>277</v>
      </c>
      <c r="C14" s="555"/>
      <c r="D14" s="528">
        <f>SUM('GAM_Ei.felhaszn.'!D14)</f>
        <v>0</v>
      </c>
      <c r="E14" s="529">
        <f>SUM('GAM_Ei.felhaszn.'!E14)</f>
        <v>0</v>
      </c>
      <c r="F14" s="529">
        <f>SUM('GAM_Ei.felhaszn.'!F14)</f>
        <v>0</v>
      </c>
      <c r="G14" s="529">
        <f>SUM('GAM_Ei.felhaszn.'!G14)</f>
        <v>0</v>
      </c>
      <c r="H14" s="529">
        <f>SUM('GAM_Ei.felhaszn.'!H14)</f>
        <v>0</v>
      </c>
      <c r="I14" s="529">
        <v>0</v>
      </c>
      <c r="J14" s="529">
        <f>SUM('GAM_Ei.felhaszn.'!J14)</f>
        <v>0</v>
      </c>
      <c r="K14" s="529">
        <f>SUM('GAM_Ei.felhaszn.'!K14)</f>
        <v>0</v>
      </c>
      <c r="L14" s="529">
        <f>SUM('GAM_Ei.felhaszn.'!L14)</f>
        <v>0</v>
      </c>
      <c r="M14" s="529">
        <f>SUM('GAM_Ei.felhaszn.'!M14)</f>
        <v>0</v>
      </c>
      <c r="N14" s="529">
        <f>SUM('GAM_Ei.felhaszn.'!N14)</f>
        <v>0</v>
      </c>
      <c r="O14" s="530">
        <f t="shared" si="1"/>
        <v>0</v>
      </c>
      <c r="P14" s="512">
        <v>0</v>
      </c>
    </row>
    <row r="15" spans="2:16" s="478" customFormat="1" ht="13.5" thickBot="1">
      <c r="B15" s="532" t="s">
        <v>282</v>
      </c>
      <c r="C15" s="556"/>
      <c r="D15" s="534">
        <v>10637</v>
      </c>
      <c r="E15" s="534">
        <v>10638</v>
      </c>
      <c r="F15" s="534">
        <v>10637</v>
      </c>
      <c r="G15" s="534">
        <v>11625</v>
      </c>
      <c r="H15" s="534">
        <v>11625</v>
      </c>
      <c r="I15" s="534">
        <v>11625</v>
      </c>
      <c r="J15" s="534">
        <v>11651</v>
      </c>
      <c r="K15" s="534">
        <v>6611</v>
      </c>
      <c r="L15" s="534">
        <v>15495</v>
      </c>
      <c r="M15" s="534">
        <v>12068</v>
      </c>
      <c r="N15" s="534">
        <v>6238</v>
      </c>
      <c r="O15" s="534">
        <v>47322</v>
      </c>
      <c r="P15" s="533">
        <f>SUM(D15:O15)</f>
        <v>166172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12887</v>
      </c>
      <c r="E16" s="539">
        <f t="shared" si="2"/>
        <v>12889</v>
      </c>
      <c r="F16" s="539">
        <f t="shared" si="2"/>
        <v>12887</v>
      </c>
      <c r="G16" s="539">
        <f t="shared" si="2"/>
        <v>14038</v>
      </c>
      <c r="H16" s="539">
        <f t="shared" si="2"/>
        <v>14037</v>
      </c>
      <c r="I16" s="539">
        <f t="shared" si="2"/>
        <v>14064</v>
      </c>
      <c r="J16" s="539">
        <f t="shared" si="2"/>
        <v>18682</v>
      </c>
      <c r="K16" s="539">
        <f t="shared" si="2"/>
        <v>17625</v>
      </c>
      <c r="L16" s="539">
        <f t="shared" si="2"/>
        <v>19060</v>
      </c>
      <c r="M16" s="539">
        <f t="shared" si="2"/>
        <v>16996</v>
      </c>
      <c r="N16" s="539">
        <f t="shared" si="2"/>
        <v>12034</v>
      </c>
      <c r="O16" s="539">
        <f t="shared" si="2"/>
        <v>50195</v>
      </c>
      <c r="P16" s="538">
        <f t="shared" si="2"/>
        <v>215394</v>
      </c>
    </row>
    <row r="17" spans="2:16" s="429" customFormat="1" ht="12.75">
      <c r="B17" s="542" t="s">
        <v>112</v>
      </c>
      <c r="C17" s="554"/>
      <c r="D17" s="543">
        <f>SUM('GAM_Ei.felhaszn.'!D22)</f>
        <v>4243</v>
      </c>
      <c r="E17" s="525">
        <f>SUM('GAM_Ei.felhaszn.'!E22)</f>
        <v>4244</v>
      </c>
      <c r="F17" s="525">
        <f>SUM('GAM_Ei.felhaszn.'!F22)</f>
        <v>4243</v>
      </c>
      <c r="G17" s="525">
        <f>SUM('GAM_Ei.felhaszn.'!G22)</f>
        <v>3560</v>
      </c>
      <c r="H17" s="525">
        <f>SUM('GAM_Ei.felhaszn.'!H22)</f>
        <v>3561</v>
      </c>
      <c r="I17" s="525">
        <f>SUM('GAM_Ei.felhaszn.'!I22)</f>
        <v>3560</v>
      </c>
      <c r="J17" s="525">
        <f>SUM('GAM_Ei.felhaszn.'!J22)</f>
        <v>4181</v>
      </c>
      <c r="K17" s="525">
        <v>4132</v>
      </c>
      <c r="L17" s="525">
        <v>4419</v>
      </c>
      <c r="M17" s="525">
        <v>5096</v>
      </c>
      <c r="N17" s="525">
        <v>4239</v>
      </c>
      <c r="O17" s="526">
        <f>+P17-D17-E17-F17-G17-H17-I17-J17-K17-L17-M17-N17</f>
        <v>5813</v>
      </c>
      <c r="P17" s="523">
        <f>SUM('GAM_Ei.felhaszn.'!C22)</f>
        <v>51291</v>
      </c>
    </row>
    <row r="18" spans="2:16" s="429" customFormat="1" ht="12.75">
      <c r="B18" s="544" t="s">
        <v>113</v>
      </c>
      <c r="C18" s="555"/>
      <c r="D18" s="545">
        <f>SUM('GAM_Ei.felhaszn.'!D23)</f>
        <v>1136</v>
      </c>
      <c r="E18" s="529">
        <f>SUM('GAM_Ei.felhaszn.'!E23)</f>
        <v>1136</v>
      </c>
      <c r="F18" s="529">
        <f>SUM('GAM_Ei.felhaszn.'!F23)</f>
        <v>1136</v>
      </c>
      <c r="G18" s="529">
        <f>SUM('GAM_Ei.felhaszn.'!G23)</f>
        <v>593</v>
      </c>
      <c r="H18" s="529">
        <f>SUM('GAM_Ei.felhaszn.'!H23)</f>
        <v>592</v>
      </c>
      <c r="I18" s="529">
        <f>SUM('GAM_Ei.felhaszn.'!I23)</f>
        <v>593</v>
      </c>
      <c r="J18" s="529">
        <f>SUM('GAM_Ei.felhaszn.'!J23)</f>
        <v>901</v>
      </c>
      <c r="K18" s="529">
        <v>895</v>
      </c>
      <c r="L18" s="529">
        <v>954</v>
      </c>
      <c r="M18" s="529">
        <v>1144</v>
      </c>
      <c r="N18" s="529">
        <v>923</v>
      </c>
      <c r="O18" s="530">
        <f aca="true" t="shared" si="3" ref="O18:O24">+P18-D18-E18-F18-G18-H18-I18-J18-K18-L18-M18-N18</f>
        <v>1243</v>
      </c>
      <c r="P18" s="512">
        <f>SUM('GAM_Ei.felhaszn.'!C23)</f>
        <v>11246</v>
      </c>
    </row>
    <row r="19" spans="2:16" s="429" customFormat="1" ht="12.75">
      <c r="B19" s="544" t="s">
        <v>114</v>
      </c>
      <c r="C19" s="555"/>
      <c r="D19" s="545">
        <f>SUM('GAM_Ei.felhaszn.'!D24)</f>
        <v>6278</v>
      </c>
      <c r="E19" s="529">
        <f>SUM('GAM_Ei.felhaszn.'!E24)</f>
        <v>6278</v>
      </c>
      <c r="F19" s="529">
        <f>SUM('GAM_Ei.felhaszn.'!F24)</f>
        <v>6278</v>
      </c>
      <c r="G19" s="529">
        <f>SUM('GAM_Ei.felhaszn.'!G24)</f>
        <v>12152</v>
      </c>
      <c r="H19" s="529">
        <f>SUM('GAM_Ei.felhaszn.'!H24)</f>
        <v>12152</v>
      </c>
      <c r="I19" s="529">
        <f>SUM('GAM_Ei.felhaszn.'!I24)</f>
        <v>12152</v>
      </c>
      <c r="J19" s="529">
        <f>SUM('GAM_Ei.felhaszn.'!J24)</f>
        <v>11465</v>
      </c>
      <c r="K19" s="529">
        <v>12104</v>
      </c>
      <c r="L19" s="529">
        <v>13883</v>
      </c>
      <c r="M19" s="529">
        <v>7974</v>
      </c>
      <c r="N19" s="529">
        <v>8665</v>
      </c>
      <c r="O19" s="530">
        <f t="shared" si="3"/>
        <v>42796</v>
      </c>
      <c r="P19" s="512">
        <f>SUM('GAM_Ei.felhaszn.'!C24)</f>
        <v>152177</v>
      </c>
    </row>
    <row r="20" spans="2:16" s="429" customFormat="1" ht="12.75">
      <c r="B20" s="546" t="s">
        <v>115</v>
      </c>
      <c r="C20" s="555"/>
      <c r="D20" s="545">
        <f>SUM('GAM_Ei.felhaszn.'!D25)</f>
        <v>0</v>
      </c>
      <c r="E20" s="529">
        <f>SUM('GAM_Ei.felhaszn.'!E25)</f>
        <v>0</v>
      </c>
      <c r="F20" s="529">
        <f>SUM('GAM_Ei.felhaszn.'!F25)</f>
        <v>0</v>
      </c>
      <c r="G20" s="529">
        <f>SUM('GAM_Ei.felhaszn.'!G25)</f>
        <v>0</v>
      </c>
      <c r="H20" s="529">
        <f>SUM('GAM_Ei.felhaszn.'!H25)</f>
        <v>0</v>
      </c>
      <c r="I20" s="529">
        <f>SUM('GAM_Ei.felhaszn.'!I25)</f>
        <v>0</v>
      </c>
      <c r="J20" s="529">
        <f>SUM('GAM_Ei.felhaszn.'!J25)</f>
        <v>0</v>
      </c>
      <c r="K20" s="529">
        <f>SUM('GAM_Ei.felhaszn.'!K25)</f>
        <v>0</v>
      </c>
      <c r="L20" s="529">
        <f>SUM('GAM_Ei.felhaszn.'!L25)</f>
        <v>0</v>
      </c>
      <c r="M20" s="529">
        <f>SUM('GAM_Ei.felhaszn.'!M25)</f>
        <v>0</v>
      </c>
      <c r="N20" s="529">
        <v>0</v>
      </c>
      <c r="O20" s="530">
        <f t="shared" si="3"/>
        <v>0</v>
      </c>
      <c r="P20" s="512">
        <f>SUM('GAM_Ei.felhaszn.'!C25)</f>
        <v>0</v>
      </c>
    </row>
    <row r="21" spans="2:16" s="429" customFormat="1" ht="12.75">
      <c r="B21" s="544" t="s">
        <v>119</v>
      </c>
      <c r="C21" s="555"/>
      <c r="D21" s="545">
        <f>SUM('GAM_Ei.felhaszn.'!D26)</f>
        <v>0</v>
      </c>
      <c r="E21" s="529">
        <f>SUM('GAM_Ei.felhaszn.'!E26)</f>
        <v>0</v>
      </c>
      <c r="F21" s="529">
        <f>SUM('GAM_Ei.felhaszn.'!F26)</f>
        <v>0</v>
      </c>
      <c r="G21" s="529">
        <f>SUM('GAM_Ei.felhaszn.'!G26)</f>
        <v>0</v>
      </c>
      <c r="H21" s="529">
        <f>SUM('GAM_Ei.felhaszn.'!H26)</f>
        <v>0</v>
      </c>
      <c r="I21" s="529">
        <f>SUM('GAM_Ei.felhaszn.'!I26)</f>
        <v>0</v>
      </c>
      <c r="J21" s="529">
        <f>SUM('GAM_Ei.felhaszn.'!J26)</f>
        <v>0</v>
      </c>
      <c r="K21" s="529">
        <f>SUM('GAM_Ei.felhaszn.'!K26)</f>
        <v>0</v>
      </c>
      <c r="L21" s="529">
        <f>SUM('GAM_Ei.felhaszn.'!L26)</f>
        <v>0</v>
      </c>
      <c r="M21" s="529">
        <f>SUM('GAM_Ei.felhaszn.'!M26)</f>
        <v>0</v>
      </c>
      <c r="N21" s="529">
        <v>103</v>
      </c>
      <c r="O21" s="530">
        <f t="shared" si="3"/>
        <v>3997</v>
      </c>
      <c r="P21" s="512">
        <f>SUM('GAM_Ei.felhaszn.'!C26)</f>
        <v>4100</v>
      </c>
    </row>
    <row r="22" spans="2:16" s="429" customFormat="1" ht="12.75">
      <c r="B22" s="544" t="s">
        <v>120</v>
      </c>
      <c r="C22" s="555"/>
      <c r="D22" s="545">
        <f>SUM('GAM_Ei.felhaszn.'!D27)</f>
        <v>0</v>
      </c>
      <c r="E22" s="529">
        <f>SUM('GAM_Ei.felhaszn.'!E27)</f>
        <v>0</v>
      </c>
      <c r="F22" s="529">
        <f>SUM('GAM_Ei.felhaszn.'!F27)</f>
        <v>0</v>
      </c>
      <c r="G22" s="529">
        <f>SUM('GAM_Ei.felhaszn.'!G27)</f>
        <v>0</v>
      </c>
      <c r="H22" s="529">
        <f>SUM('GAM_Ei.felhaszn.'!H27)</f>
        <v>0</v>
      </c>
      <c r="I22" s="529">
        <f>SUM('GAM_Ei.felhaszn.'!I27)</f>
        <v>0</v>
      </c>
      <c r="J22" s="529">
        <f>SUM('GAM_Ei.felhaszn.'!J27)</f>
        <v>0</v>
      </c>
      <c r="K22" s="529">
        <f>SUM('GAM_Ei.felhaszn.'!K27)</f>
        <v>0</v>
      </c>
      <c r="L22" s="529">
        <f>SUM('GAM_Ei.felhaszn.'!L27)</f>
        <v>0</v>
      </c>
      <c r="M22" s="529">
        <f>SUM('GAM_Ei.felhaszn.'!M27)</f>
        <v>0</v>
      </c>
      <c r="N22" s="529">
        <v>0</v>
      </c>
      <c r="O22" s="530">
        <f t="shared" si="3"/>
        <v>0</v>
      </c>
      <c r="P22" s="512">
        <f>SUM('GAM_Ei.felhaszn.'!C27)</f>
        <v>0</v>
      </c>
    </row>
    <row r="23" spans="2:16" s="429" customFormat="1" ht="12.75">
      <c r="B23" s="544" t="s">
        <v>121</v>
      </c>
      <c r="C23" s="555"/>
      <c r="D23" s="545">
        <f>SUM('GAM_Ei.felhaszn.'!D28)</f>
        <v>0</v>
      </c>
      <c r="E23" s="529">
        <f>SUM('GAM_Ei.felhaszn.'!E28)</f>
        <v>0</v>
      </c>
      <c r="F23" s="529">
        <f>SUM('GAM_Ei.felhaszn.'!F28)</f>
        <v>0</v>
      </c>
      <c r="G23" s="529">
        <f>SUM('GAM_Ei.felhaszn.'!G28)</f>
        <v>0</v>
      </c>
      <c r="H23" s="529">
        <f>SUM('GAM_Ei.felhaszn.'!H28)</f>
        <v>0</v>
      </c>
      <c r="I23" s="529">
        <v>0</v>
      </c>
      <c r="J23" s="529">
        <f>SUM('GAM_Ei.felhaszn.'!J28)</f>
        <v>0</v>
      </c>
      <c r="K23" s="529">
        <f>SUM('GAM_Ei.felhaszn.'!K28)</f>
        <v>0</v>
      </c>
      <c r="L23" s="529">
        <f>SUM('GAM_Ei.felhaszn.'!L28)</f>
        <v>0</v>
      </c>
      <c r="M23" s="529">
        <f>SUM('GAM_Ei.felhaszn.'!M28)</f>
        <v>0</v>
      </c>
      <c r="N23" s="529">
        <v>0</v>
      </c>
      <c r="O23" s="530">
        <f t="shared" si="3"/>
        <v>0</v>
      </c>
      <c r="P23" s="512">
        <v>0</v>
      </c>
    </row>
    <row r="24" spans="2:16" s="429" customFormat="1" ht="13.5" thickBot="1">
      <c r="B24" s="544" t="s">
        <v>280</v>
      </c>
      <c r="C24" s="555"/>
      <c r="D24" s="545">
        <f>SUM('GAM_Ei.felhaszn.'!D29)</f>
        <v>0</v>
      </c>
      <c r="E24" s="529">
        <f>SUM('GAM_Ei.felhaszn.'!E29)</f>
        <v>0</v>
      </c>
      <c r="F24" s="529">
        <f>SUM('GAM_Ei.felhaszn.'!F29)</f>
        <v>0</v>
      </c>
      <c r="G24" s="529">
        <f>SUM('GAM_Ei.felhaszn.'!G29)</f>
        <v>0</v>
      </c>
      <c r="H24" s="529">
        <f>SUM('GAM_Ei.felhaszn.'!H29)</f>
        <v>0</v>
      </c>
      <c r="I24" s="529">
        <f>SUM('GAM_Ei.felhaszn.'!I29)</f>
        <v>-482</v>
      </c>
      <c r="J24" s="529">
        <f>SUM('GAM_Ei.felhaszn.'!J29)</f>
        <v>685</v>
      </c>
      <c r="K24" s="529">
        <v>448</v>
      </c>
      <c r="L24" s="529">
        <v>-292</v>
      </c>
      <c r="M24" s="529">
        <v>2420</v>
      </c>
      <c r="N24" s="529">
        <v>-2893</v>
      </c>
      <c r="O24" s="530">
        <f t="shared" si="3"/>
        <v>114</v>
      </c>
      <c r="P24" s="512"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11657</v>
      </c>
      <c r="E25" s="539">
        <f t="shared" si="4"/>
        <v>11658</v>
      </c>
      <c r="F25" s="539">
        <f t="shared" si="4"/>
        <v>11657</v>
      </c>
      <c r="G25" s="539">
        <f t="shared" si="4"/>
        <v>16305</v>
      </c>
      <c r="H25" s="539">
        <f t="shared" si="4"/>
        <v>16305</v>
      </c>
      <c r="I25" s="539">
        <f t="shared" si="4"/>
        <v>15823</v>
      </c>
      <c r="J25" s="539">
        <f t="shared" si="4"/>
        <v>17232</v>
      </c>
      <c r="K25" s="539">
        <f t="shared" si="4"/>
        <v>17579</v>
      </c>
      <c r="L25" s="539">
        <f t="shared" si="4"/>
        <v>18964</v>
      </c>
      <c r="M25" s="539">
        <f t="shared" si="4"/>
        <v>16634</v>
      </c>
      <c r="N25" s="539">
        <f t="shared" si="4"/>
        <v>11037</v>
      </c>
      <c r="O25" s="539">
        <f t="shared" si="4"/>
        <v>53963</v>
      </c>
      <c r="P25" s="538">
        <f t="shared" si="4"/>
        <v>218814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4650</v>
      </c>
      <c r="E26" s="551">
        <f t="shared" si="5"/>
        <v>5881</v>
      </c>
      <c r="F26" s="551">
        <f t="shared" si="5"/>
        <v>7111</v>
      </c>
      <c r="G26" s="551">
        <f t="shared" si="5"/>
        <v>4844</v>
      </c>
      <c r="H26" s="551">
        <f t="shared" si="5"/>
        <v>2576</v>
      </c>
      <c r="I26" s="551">
        <f t="shared" si="5"/>
        <v>817</v>
      </c>
      <c r="J26" s="551">
        <f t="shared" si="5"/>
        <v>2267</v>
      </c>
      <c r="K26" s="551">
        <f t="shared" si="5"/>
        <v>2313</v>
      </c>
      <c r="L26" s="551">
        <f t="shared" si="5"/>
        <v>2409</v>
      </c>
      <c r="M26" s="551">
        <f t="shared" si="5"/>
        <v>2771</v>
      </c>
      <c r="N26" s="551">
        <f t="shared" si="5"/>
        <v>3768</v>
      </c>
      <c r="O26" s="552">
        <f t="shared" si="5"/>
        <v>0</v>
      </c>
      <c r="P26" s="564"/>
    </row>
    <row r="27" ht="12.75">
      <c r="C27" s="27"/>
    </row>
    <row r="28" spans="6:24" ht="12.75">
      <c r="F28" s="2"/>
      <c r="G28" s="2"/>
      <c r="H28" s="2"/>
      <c r="I28" s="2"/>
      <c r="J28" s="27"/>
      <c r="K28" s="2"/>
      <c r="L28" s="2"/>
      <c r="M28" s="2"/>
      <c r="N28" s="2"/>
      <c r="O28" s="2"/>
      <c r="P28" s="27"/>
      <c r="Q28" s="2"/>
      <c r="R28" s="2"/>
      <c r="S28" s="2"/>
      <c r="T28" s="2"/>
      <c r="U28" s="2"/>
      <c r="V28" s="2"/>
      <c r="W28" s="2"/>
      <c r="X28" s="2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2:J21"/>
  <sheetViews>
    <sheetView workbookViewId="0" topLeftCell="A1">
      <selection activeCell="L17" sqref="L17"/>
    </sheetView>
  </sheetViews>
  <sheetFormatPr defaultColWidth="9.00390625" defaultRowHeight="12.75"/>
  <cols>
    <col min="2" max="2" width="56.125" style="0" bestFit="1" customWidth="1"/>
    <col min="3" max="6" width="10.375" style="0" customWidth="1"/>
    <col min="7" max="9" width="13.25390625" style="0" customWidth="1"/>
  </cols>
  <sheetData>
    <row r="2" spans="2:10" ht="55.5" customHeight="1">
      <c r="B2" s="776" t="s">
        <v>643</v>
      </c>
      <c r="C2" s="776"/>
      <c r="D2" s="776"/>
      <c r="E2" s="776"/>
      <c r="F2" s="776"/>
      <c r="G2" s="776"/>
      <c r="H2" s="776"/>
      <c r="I2" s="776"/>
      <c r="J2" s="594"/>
    </row>
    <row r="3" spans="7:9" ht="12.75">
      <c r="G3" s="18"/>
      <c r="I3" s="18"/>
    </row>
    <row r="4" spans="7:9" ht="12.75">
      <c r="G4" s="18"/>
      <c r="I4" s="136" t="s">
        <v>616</v>
      </c>
    </row>
    <row r="5" spans="7:9" ht="13.5" thickBot="1">
      <c r="G5" s="18"/>
      <c r="I5" s="18"/>
    </row>
    <row r="6" spans="2:9" ht="39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682</v>
      </c>
      <c r="C7" s="603">
        <v>4570</v>
      </c>
      <c r="D7" s="595">
        <v>1104</v>
      </c>
      <c r="E7" s="595">
        <v>130</v>
      </c>
      <c r="F7" s="595">
        <v>0</v>
      </c>
      <c r="G7" s="596">
        <f aca="true" t="shared" si="0" ref="G7:G19">SUM(C7:F7)</f>
        <v>5804</v>
      </c>
      <c r="H7" s="612">
        <v>0</v>
      </c>
      <c r="I7" s="607">
        <f aca="true" t="shared" si="1" ref="I7:I19">SUM(G7:H7)</f>
        <v>5804</v>
      </c>
    </row>
    <row r="8" spans="2:9" ht="12.75">
      <c r="B8" s="55" t="s">
        <v>683</v>
      </c>
      <c r="C8" s="604">
        <v>11808</v>
      </c>
      <c r="D8" s="56">
        <v>2445</v>
      </c>
      <c r="E8" s="56">
        <v>80275</v>
      </c>
      <c r="F8" s="56">
        <v>0</v>
      </c>
      <c r="G8" s="54">
        <f t="shared" si="0"/>
        <v>94528</v>
      </c>
      <c r="H8" s="613">
        <v>0</v>
      </c>
      <c r="I8" s="608">
        <f t="shared" si="1"/>
        <v>94528</v>
      </c>
    </row>
    <row r="9" spans="2:9" ht="12.75">
      <c r="B9" s="55" t="s">
        <v>653</v>
      </c>
      <c r="C9" s="604">
        <v>0</v>
      </c>
      <c r="D9" s="56">
        <v>0</v>
      </c>
      <c r="E9" s="56">
        <v>1545</v>
      </c>
      <c r="F9" s="56">
        <v>0</v>
      </c>
      <c r="G9" s="54">
        <f t="shared" si="0"/>
        <v>1545</v>
      </c>
      <c r="H9" s="613">
        <v>0</v>
      </c>
      <c r="I9" s="608">
        <f t="shared" si="1"/>
        <v>1545</v>
      </c>
    </row>
    <row r="10" spans="2:9" ht="12.75">
      <c r="B10" s="55" t="s">
        <v>684</v>
      </c>
      <c r="C10" s="604">
        <v>7966</v>
      </c>
      <c r="D10" s="56">
        <v>1549</v>
      </c>
      <c r="E10" s="56">
        <v>28808</v>
      </c>
      <c r="F10" s="56">
        <v>0</v>
      </c>
      <c r="G10" s="54">
        <f t="shared" si="0"/>
        <v>38323</v>
      </c>
      <c r="H10" s="613">
        <v>0</v>
      </c>
      <c r="I10" s="608">
        <f t="shared" si="1"/>
        <v>38323</v>
      </c>
    </row>
    <row r="11" spans="2:9" ht="12.75">
      <c r="B11" s="55" t="s">
        <v>679</v>
      </c>
      <c r="C11" s="604">
        <v>2260</v>
      </c>
      <c r="D11" s="56">
        <v>476</v>
      </c>
      <c r="E11" s="56">
        <v>1659</v>
      </c>
      <c r="F11" s="56">
        <v>0</v>
      </c>
      <c r="G11" s="54">
        <f t="shared" si="0"/>
        <v>4395</v>
      </c>
      <c r="H11" s="613">
        <v>0</v>
      </c>
      <c r="I11" s="608">
        <f t="shared" si="1"/>
        <v>4395</v>
      </c>
    </row>
    <row r="12" spans="2:9" ht="12.75">
      <c r="B12" s="55" t="s">
        <v>685</v>
      </c>
      <c r="C12" s="604">
        <v>0</v>
      </c>
      <c r="D12" s="56">
        <v>0</v>
      </c>
      <c r="E12" s="56">
        <v>3734</v>
      </c>
      <c r="F12" s="56">
        <v>0</v>
      </c>
      <c r="G12" s="54">
        <f t="shared" si="0"/>
        <v>3734</v>
      </c>
      <c r="H12" s="613">
        <v>0</v>
      </c>
      <c r="I12" s="608">
        <f t="shared" si="1"/>
        <v>3734</v>
      </c>
    </row>
    <row r="13" spans="2:9" ht="12.75">
      <c r="B13" s="55" t="s">
        <v>686</v>
      </c>
      <c r="C13" s="604">
        <v>21296</v>
      </c>
      <c r="D13" s="56">
        <v>4844</v>
      </c>
      <c r="E13" s="56">
        <v>33989</v>
      </c>
      <c r="F13" s="56">
        <v>0</v>
      </c>
      <c r="G13" s="54">
        <f t="shared" si="0"/>
        <v>60129</v>
      </c>
      <c r="H13" s="613">
        <v>4100</v>
      </c>
      <c r="I13" s="608">
        <f t="shared" si="1"/>
        <v>64229</v>
      </c>
    </row>
    <row r="14" spans="2:9" ht="13.5" thickBot="1">
      <c r="B14" s="55" t="s">
        <v>687</v>
      </c>
      <c r="C14" s="604">
        <v>0</v>
      </c>
      <c r="D14" s="56">
        <v>0</v>
      </c>
      <c r="E14" s="56">
        <v>1600</v>
      </c>
      <c r="F14" s="56">
        <v>0</v>
      </c>
      <c r="G14" s="54">
        <f t="shared" si="0"/>
        <v>1600</v>
      </c>
      <c r="H14" s="613">
        <v>0</v>
      </c>
      <c r="I14" s="608">
        <f t="shared" si="1"/>
        <v>1600</v>
      </c>
    </row>
    <row r="15" spans="2:9" ht="15.75" thickBot="1">
      <c r="B15" s="627" t="s">
        <v>664</v>
      </c>
      <c r="C15" s="628">
        <f>SUM(C7:C14)</f>
        <v>47900</v>
      </c>
      <c r="D15" s="629">
        <f>SUM(D7:D14)</f>
        <v>10418</v>
      </c>
      <c r="E15" s="629">
        <f>SUM(E7:E14)</f>
        <v>151740</v>
      </c>
      <c r="F15" s="629">
        <f>SUM(F7:F14)</f>
        <v>0</v>
      </c>
      <c r="G15" s="630">
        <f t="shared" si="0"/>
        <v>210058</v>
      </c>
      <c r="H15" s="631">
        <f>SUM(H7:H14)</f>
        <v>4100</v>
      </c>
      <c r="I15" s="632">
        <f t="shared" si="1"/>
        <v>214158</v>
      </c>
    </row>
    <row r="16" spans="2:9" ht="13.5" thickBot="1">
      <c r="B16" s="55" t="s">
        <v>662</v>
      </c>
      <c r="C16" s="604">
        <v>3391</v>
      </c>
      <c r="D16" s="56">
        <v>828</v>
      </c>
      <c r="E16" s="56">
        <v>437</v>
      </c>
      <c r="F16" s="56">
        <v>0</v>
      </c>
      <c r="G16" s="54">
        <f t="shared" si="0"/>
        <v>4656</v>
      </c>
      <c r="H16" s="613">
        <v>0</v>
      </c>
      <c r="I16" s="608">
        <f t="shared" si="1"/>
        <v>4656</v>
      </c>
    </row>
    <row r="17" spans="2:9" ht="15.75" thickBot="1">
      <c r="B17" s="627" t="s">
        <v>665</v>
      </c>
      <c r="C17" s="628">
        <f>SUM(C16:C16)</f>
        <v>3391</v>
      </c>
      <c r="D17" s="629">
        <f>SUM(D16:D16)</f>
        <v>828</v>
      </c>
      <c r="E17" s="629">
        <f>SUM(E16:E16)</f>
        <v>437</v>
      </c>
      <c r="F17" s="629">
        <f>SUM(F16:F16)</f>
        <v>0</v>
      </c>
      <c r="G17" s="630">
        <f t="shared" si="0"/>
        <v>4656</v>
      </c>
      <c r="H17" s="631">
        <f>SUM(H16:H16)</f>
        <v>0</v>
      </c>
      <c r="I17" s="632">
        <f t="shared" si="1"/>
        <v>4656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704"/>
    </row>
  </sheetData>
  <sheetProtection/>
  <mergeCells count="1">
    <mergeCell ref="B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5">
      <selection activeCell="K14" sqref="K14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154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22">
      <selection activeCell="I25" sqref="I25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</cols>
  <sheetData>
    <row r="1" spans="1:3" ht="15.75">
      <c r="A1" s="765" t="s">
        <v>617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406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6190</v>
      </c>
    </row>
    <row r="8" spans="1:2" ht="18.75" customHeight="1">
      <c r="A8" s="53" t="s">
        <v>82</v>
      </c>
      <c r="B8" s="54">
        <f>SUM(B9:B14)</f>
        <v>6190</v>
      </c>
    </row>
    <row r="9" spans="1:2" ht="18.75" customHeight="1">
      <c r="A9" s="55" t="s">
        <v>83</v>
      </c>
      <c r="B9" s="57">
        <f>SUM('ILMKInt.műk.bev.'!B8)</f>
        <v>0</v>
      </c>
    </row>
    <row r="10" spans="1:2" ht="18.75" customHeight="1">
      <c r="A10" s="55" t="s">
        <v>84</v>
      </c>
      <c r="B10" s="57">
        <f>SUM('ILMKInt.műk.bev.'!B9)</f>
        <v>3220</v>
      </c>
    </row>
    <row r="11" spans="1:2" ht="18.75" customHeight="1">
      <c r="A11" s="55" t="s">
        <v>85</v>
      </c>
      <c r="B11" s="57">
        <f>SUM('ILMKInt.műk.bev.'!B20)</f>
        <v>1600</v>
      </c>
    </row>
    <row r="12" spans="1:2" ht="18.75" customHeight="1">
      <c r="A12" s="55" t="s">
        <v>86</v>
      </c>
      <c r="B12" s="57">
        <f>SUM('ILMKInt.műk.bev.'!B23)</f>
        <v>0</v>
      </c>
    </row>
    <row r="13" spans="1:2" ht="18.75" customHeight="1">
      <c r="A13" s="55" t="s">
        <v>87</v>
      </c>
      <c r="B13" s="57">
        <f>SUM('ILMKInt.műk.bev.'!B26)</f>
        <v>0</v>
      </c>
    </row>
    <row r="14" spans="1:2" ht="18.75" customHeight="1">
      <c r="A14" s="55" t="s">
        <v>88</v>
      </c>
      <c r="B14" s="57">
        <f>SUM('ILMKInt.műk.bev.'!B29)</f>
        <v>1370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92</v>
      </c>
      <c r="B18" s="66">
        <f>SUM(B19+B20)</f>
        <v>0</v>
      </c>
    </row>
    <row r="19" spans="1:2" s="59" customFormat="1" ht="18.75" customHeight="1">
      <c r="A19" s="86" t="s">
        <v>93</v>
      </c>
      <c r="B19" s="58">
        <v>0</v>
      </c>
    </row>
    <row r="20" spans="1:2" s="59" customFormat="1" ht="18.75" customHeight="1">
      <c r="A20" s="86" t="s">
        <v>94</v>
      </c>
      <c r="B20" s="58">
        <f>SUM(ILMK_Átvett!B10)</f>
        <v>0</v>
      </c>
    </row>
    <row r="21" spans="1:2" s="67" customFormat="1" ht="18.75" customHeight="1">
      <c r="A21" s="65" t="s">
        <v>95</v>
      </c>
      <c r="B21" s="66">
        <f>SUM(B22:B23)</f>
        <v>9886</v>
      </c>
    </row>
    <row r="22" spans="1:2" s="59" customFormat="1" ht="18.75" customHeight="1">
      <c r="A22" s="86" t="s">
        <v>96</v>
      </c>
      <c r="B22" s="58">
        <f>SUM(ILMK_Átvett!B6)</f>
        <v>9886</v>
      </c>
    </row>
    <row r="23" spans="1:2" s="59" customFormat="1" ht="18.75" customHeight="1" thickBot="1">
      <c r="A23" s="86" t="s">
        <v>97</v>
      </c>
      <c r="B23" s="58">
        <f>SUM(ILMK_Átvett!B10)</f>
        <v>0</v>
      </c>
    </row>
    <row r="24" spans="1:2" s="67" customFormat="1" ht="19.5" customHeight="1" thickBot="1">
      <c r="A24" s="68" t="s">
        <v>66</v>
      </c>
      <c r="B24" s="230">
        <f>SUM(B7+B15+B16+B18+B21)</f>
        <v>16076</v>
      </c>
    </row>
    <row r="25" spans="1:2" s="67" customFormat="1" ht="32.25" customHeight="1">
      <c r="A25" s="70" t="s">
        <v>98</v>
      </c>
      <c r="B25" s="71">
        <f>SUM(B26+B29)</f>
        <v>323</v>
      </c>
    </row>
    <row r="26" spans="1:2" ht="18.75" customHeight="1">
      <c r="A26" s="55" t="s">
        <v>99</v>
      </c>
      <c r="B26" s="72">
        <f>SUM(B27+B28)</f>
        <v>323</v>
      </c>
    </row>
    <row r="27" spans="1:2" ht="18.75" customHeight="1">
      <c r="A27" s="55" t="s">
        <v>100</v>
      </c>
      <c r="B27" s="72">
        <v>323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16399</v>
      </c>
    </row>
    <row r="32" spans="1:2" s="221" customFormat="1" ht="18.75" customHeight="1">
      <c r="A32" s="225" t="s">
        <v>282</v>
      </c>
      <c r="B32" s="226">
        <f>SUM(B33:B34)</f>
        <v>31751</v>
      </c>
    </row>
    <row r="33" spans="1:2" s="221" customFormat="1" ht="18.75" customHeight="1">
      <c r="A33" s="222" t="s">
        <v>283</v>
      </c>
      <c r="B33" s="741">
        <f>31254+100+150+247</f>
        <v>31751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48150</v>
      </c>
    </row>
    <row r="36" ht="12.75">
      <c r="B36" s="2"/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9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535</v>
      </c>
      <c r="B1" s="769"/>
    </row>
    <row r="2" ht="14.25" customHeight="1"/>
    <row r="3" spans="1:2" ht="12.75">
      <c r="A3" s="770" t="s">
        <v>367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7" ht="21.75" customHeight="1">
      <c r="A6" s="164" t="s">
        <v>536</v>
      </c>
      <c r="B6" s="220">
        <f>SUM('ÖNK_Tám. ért. bev. '!B6+'PH_Tám. ért. bev.'!B6+'OVI_Tám. ért. bev.'!B6+'GAM_Tám. ért. bev.'!B6+ILMK_Átvett!B6)</f>
        <v>147831</v>
      </c>
      <c r="E6" s="2"/>
      <c r="F6" s="27"/>
      <c r="G6" s="2"/>
    </row>
    <row r="7" spans="1:7" ht="21.75" customHeight="1" thickBot="1">
      <c r="A7" s="156" t="s">
        <v>537</v>
      </c>
      <c r="B7" s="157">
        <f>SUM('ÖNK_Tám. ért. bev. '!B13+'PH_Tám. ért. bev.'!B9+'OVI_Tám. ért. bev.'!B9+ILMK_Átvett!B10)</f>
        <v>3347</v>
      </c>
      <c r="E7" s="2"/>
      <c r="F7" s="27"/>
      <c r="G7" s="2"/>
    </row>
    <row r="8" spans="1:7" ht="21.75" customHeight="1" thickBot="1">
      <c r="A8" s="68" t="s">
        <v>538</v>
      </c>
      <c r="B8" s="147">
        <f>SUM(B6+B7)</f>
        <v>151178</v>
      </c>
      <c r="E8" s="2"/>
      <c r="F8" s="27"/>
      <c r="G8" s="2"/>
    </row>
    <row r="9" spans="5:7" ht="21.75" customHeight="1">
      <c r="E9" s="2"/>
      <c r="F9" s="27"/>
      <c r="G9" s="2"/>
    </row>
    <row r="10" spans="5:7" ht="21.75" customHeight="1"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75" zoomScaleNormal="75" zoomScalePageLayoutView="0" workbookViewId="0" topLeftCell="A19">
      <selection activeCell="B5" sqref="B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20.25">
      <c r="A2" s="768" t="s">
        <v>618</v>
      </c>
      <c r="B2" s="768"/>
    </row>
    <row r="3" spans="1:2" ht="15.75">
      <c r="A3" s="29"/>
      <c r="B3" s="29"/>
    </row>
    <row r="4" ht="12.75">
      <c r="B4" s="7" t="s">
        <v>424</v>
      </c>
    </row>
    <row r="5" ht="12.75">
      <c r="B5" s="7"/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619</v>
      </c>
    </row>
    <row r="8" spans="1:3" s="18" customFormat="1" ht="24.75" customHeight="1">
      <c r="A8" s="32" t="s">
        <v>104</v>
      </c>
      <c r="B8" s="33">
        <v>0</v>
      </c>
      <c r="C8" s="17"/>
    </row>
    <row r="9" spans="1:3" s="18" customFormat="1" ht="24.75" customHeight="1">
      <c r="A9" s="36" t="s">
        <v>105</v>
      </c>
      <c r="B9" s="37">
        <f>SUM(B10:B19)</f>
        <v>3220</v>
      </c>
      <c r="C9" s="17"/>
    </row>
    <row r="10" spans="1:2" ht="24.75" customHeight="1">
      <c r="A10" s="34" t="s">
        <v>46</v>
      </c>
      <c r="B10" s="35">
        <v>1200</v>
      </c>
    </row>
    <row r="11" spans="1:4" ht="24.75" customHeight="1">
      <c r="A11" s="34" t="s">
        <v>47</v>
      </c>
      <c r="B11" s="35">
        <v>20</v>
      </c>
      <c r="D11" s="63"/>
    </row>
    <row r="12" spans="1:2" ht="24.75" customHeight="1">
      <c r="A12" s="34" t="s">
        <v>48</v>
      </c>
      <c r="B12" s="35">
        <v>0</v>
      </c>
    </row>
    <row r="13" spans="1:2" ht="24.75" customHeight="1">
      <c r="A13" s="34" t="s">
        <v>49</v>
      </c>
      <c r="B13" s="35">
        <v>550</v>
      </c>
    </row>
    <row r="14" spans="1:4" ht="24.75" customHeight="1">
      <c r="A14" s="34" t="s">
        <v>50</v>
      </c>
      <c r="B14" s="35">
        <v>500</v>
      </c>
      <c r="D14" s="63"/>
    </row>
    <row r="15" spans="1:2" ht="24.75" customHeight="1">
      <c r="A15" s="34" t="s">
        <v>51</v>
      </c>
      <c r="B15" s="35">
        <v>100</v>
      </c>
    </row>
    <row r="16" spans="1:2" ht="24.75" customHeight="1">
      <c r="A16" s="34" t="s">
        <v>52</v>
      </c>
      <c r="B16" s="35">
        <v>150</v>
      </c>
    </row>
    <row r="17" spans="1:2" ht="24.75" customHeight="1">
      <c r="A17" s="34" t="s">
        <v>53</v>
      </c>
      <c r="B17" s="35">
        <v>350</v>
      </c>
    </row>
    <row r="18" spans="1:2" ht="24.75" customHeight="1">
      <c r="A18" s="34" t="s">
        <v>54</v>
      </c>
      <c r="B18" s="35">
        <v>250</v>
      </c>
    </row>
    <row r="19" spans="1:2" ht="24.75" customHeight="1">
      <c r="A19" s="34" t="s">
        <v>55</v>
      </c>
      <c r="B19" s="35">
        <v>100</v>
      </c>
    </row>
    <row r="20" spans="1:3" s="18" customFormat="1" ht="24.75" customHeight="1">
      <c r="A20" s="38" t="s">
        <v>106</v>
      </c>
      <c r="B20" s="37">
        <f>SUM(B21:B22)</f>
        <v>1600</v>
      </c>
      <c r="C20" s="17"/>
    </row>
    <row r="21" spans="1:2" ht="24.75" customHeight="1">
      <c r="A21" s="34" t="s">
        <v>56</v>
      </c>
      <c r="B21" s="35">
        <v>1600</v>
      </c>
    </row>
    <row r="22" spans="1:2" ht="24.75" customHeight="1">
      <c r="A22" s="34" t="s">
        <v>57</v>
      </c>
      <c r="B22" s="35">
        <v>0</v>
      </c>
    </row>
    <row r="23" spans="1:2" ht="24.75" customHeight="1">
      <c r="A23" s="38" t="s">
        <v>107</v>
      </c>
      <c r="B23" s="37">
        <f>SUM(B24:B25)</f>
        <v>0</v>
      </c>
    </row>
    <row r="24" spans="1:2" ht="24.75" customHeight="1">
      <c r="A24" s="39" t="s">
        <v>58</v>
      </c>
      <c r="B24" s="35">
        <v>0</v>
      </c>
    </row>
    <row r="25" spans="1:2" ht="24.75" customHeight="1">
      <c r="A25" s="39" t="s">
        <v>59</v>
      </c>
      <c r="B25" s="35">
        <v>0</v>
      </c>
    </row>
    <row r="26" spans="1:2" ht="24.75" customHeight="1">
      <c r="A26" s="38" t="s">
        <v>108</v>
      </c>
      <c r="B26" s="37">
        <f>SUM(B27:B28)</f>
        <v>0</v>
      </c>
    </row>
    <row r="27" spans="1:2" ht="24.75" customHeight="1">
      <c r="A27" s="34" t="s">
        <v>60</v>
      </c>
      <c r="B27" s="40">
        <v>0</v>
      </c>
    </row>
    <row r="28" spans="1:2" ht="24.75" customHeight="1">
      <c r="A28" s="41" t="s">
        <v>61</v>
      </c>
      <c r="B28" s="40">
        <v>0</v>
      </c>
    </row>
    <row r="29" spans="1:3" s="18" customFormat="1" ht="24.75" customHeight="1">
      <c r="A29" s="38" t="s">
        <v>109</v>
      </c>
      <c r="B29" s="37">
        <f>SUM(B30:B33)</f>
        <v>1370</v>
      </c>
      <c r="C29" s="17"/>
    </row>
    <row r="30" spans="1:2" ht="24.75" customHeight="1">
      <c r="A30" s="34" t="s">
        <v>62</v>
      </c>
      <c r="B30" s="35">
        <v>0</v>
      </c>
    </row>
    <row r="31" spans="1:2" ht="24.75" customHeight="1">
      <c r="A31" s="34" t="s">
        <v>63</v>
      </c>
      <c r="B31" s="35">
        <v>0</v>
      </c>
    </row>
    <row r="32" spans="1:4" ht="24.75" customHeight="1">
      <c r="A32" s="34" t="s">
        <v>64</v>
      </c>
      <c r="B32" s="35">
        <v>1370</v>
      </c>
      <c r="D32" s="42"/>
    </row>
    <row r="33" spans="1:2" ht="24.75" customHeight="1">
      <c r="A33" s="34" t="s">
        <v>65</v>
      </c>
      <c r="B33" s="35">
        <v>0</v>
      </c>
    </row>
    <row r="34" spans="1:2" ht="24.75" customHeight="1" thickBot="1">
      <c r="A34" s="43"/>
      <c r="B34" s="44"/>
    </row>
    <row r="35" spans="1:3" s="18" customFormat="1" ht="24.75" customHeight="1" thickBot="1">
      <c r="A35" s="45" t="s">
        <v>110</v>
      </c>
      <c r="B35" s="31">
        <f>+B8+B9+B20+B23+B26+B29</f>
        <v>6190</v>
      </c>
      <c r="C35" s="17"/>
    </row>
    <row r="39" ht="14.25">
      <c r="E39" s="46"/>
    </row>
    <row r="41" ht="12.75">
      <c r="D41" s="63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517</v>
      </c>
      <c r="B1" s="769"/>
    </row>
    <row r="2" ht="14.25" customHeight="1"/>
    <row r="3" spans="1:2" ht="12.75">
      <c r="A3" s="770" t="s">
        <v>407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518</v>
      </c>
      <c r="B6" s="142">
        <f>SUM(B7:B9)</f>
        <v>9886</v>
      </c>
      <c r="E6" s="2"/>
      <c r="F6" s="27"/>
    </row>
    <row r="7" spans="1:6" ht="21.75" customHeight="1">
      <c r="A7" s="121" t="s">
        <v>486</v>
      </c>
      <c r="B7" s="72">
        <v>2975</v>
      </c>
      <c r="E7" s="2"/>
      <c r="F7" s="27"/>
    </row>
    <row r="8" spans="1:6" ht="21.75" customHeight="1">
      <c r="A8" s="121" t="s">
        <v>786</v>
      </c>
      <c r="B8" s="72">
        <v>661</v>
      </c>
      <c r="E8" s="2"/>
      <c r="F8" s="27"/>
    </row>
    <row r="9" spans="1:6" ht="21.75" customHeight="1">
      <c r="A9" s="121" t="s">
        <v>787</v>
      </c>
      <c r="B9" s="72">
        <v>6250</v>
      </c>
      <c r="E9" s="2"/>
      <c r="F9" s="27"/>
    </row>
    <row r="10" spans="1:6" ht="21.75" customHeight="1">
      <c r="A10" s="144" t="s">
        <v>519</v>
      </c>
      <c r="B10" s="145">
        <f>SUM(B11:B11)</f>
        <v>0</v>
      </c>
      <c r="E10" s="2"/>
      <c r="F10" s="27"/>
    </row>
    <row r="11" spans="1:6" ht="21.75" customHeight="1" thickBot="1">
      <c r="A11" s="121" t="s">
        <v>151</v>
      </c>
      <c r="B11" s="128">
        <v>0</v>
      </c>
      <c r="E11" s="2"/>
      <c r="F11" s="27"/>
    </row>
    <row r="12" spans="1:6" ht="21.75" customHeight="1" thickBot="1">
      <c r="A12" s="146" t="s">
        <v>520</v>
      </c>
      <c r="B12" s="147">
        <f>SUM(B6+B10)</f>
        <v>9886</v>
      </c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7"/>
    </row>
    <row r="16" spans="5:6" ht="21.75" customHeight="1">
      <c r="E16" s="2"/>
      <c r="F16" s="2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spans="4:6" ht="21.75" customHeight="1">
      <c r="D25" s="2">
        <f>57500*12</f>
        <v>690000</v>
      </c>
      <c r="F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>
      <c r="D34" s="2">
        <v>1773000</v>
      </c>
    </row>
    <row r="35" ht="21.75" customHeight="1">
      <c r="D35" s="2">
        <v>3262176</v>
      </c>
    </row>
    <row r="36" ht="21.75" customHeight="1"/>
    <row r="37" spans="5:6" ht="21.75" customHeight="1">
      <c r="E37" s="143" t="s">
        <v>170</v>
      </c>
      <c r="F37" s="63" t="e">
        <f>SUM(#REF!)</f>
        <v>#REF!</v>
      </c>
    </row>
    <row r="38" ht="21.75" customHeight="1"/>
    <row r="39" ht="21.75" customHeight="1">
      <c r="D39" s="2">
        <f>620000+12846900+7315200</f>
        <v>20782100</v>
      </c>
    </row>
    <row r="40" ht="21.75" customHeight="1"/>
    <row r="41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620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426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48150</v>
      </c>
      <c r="H8"/>
      <c r="I8"/>
      <c r="J8"/>
      <c r="K8"/>
    </row>
    <row r="9" spans="2:11" s="2" customFormat="1" ht="15">
      <c r="B9" s="94" t="s">
        <v>112</v>
      </c>
      <c r="C9" s="93">
        <f>SUM('ILMK működési kiadás'!D16)</f>
        <v>14211</v>
      </c>
      <c r="H9"/>
      <c r="I9"/>
      <c r="J9"/>
      <c r="K9"/>
    </row>
    <row r="10" spans="2:11" s="2" customFormat="1" ht="15">
      <c r="B10" s="94" t="s">
        <v>113</v>
      </c>
      <c r="C10" s="93">
        <f>SUM('ILMK működési kiadás'!E16)</f>
        <v>3839</v>
      </c>
      <c r="H10"/>
      <c r="I10"/>
      <c r="J10"/>
      <c r="K10"/>
    </row>
    <row r="11" spans="2:11" s="2" customFormat="1" ht="15">
      <c r="B11" s="94" t="s">
        <v>114</v>
      </c>
      <c r="C11" s="93">
        <f>SUM('ILMK működési kiadás'!F16)</f>
        <v>30100</v>
      </c>
      <c r="H11"/>
      <c r="I11"/>
      <c r="J11"/>
      <c r="K11"/>
    </row>
    <row r="12" spans="2:11" s="2" customFormat="1" ht="15">
      <c r="B12" s="94" t="s">
        <v>115</v>
      </c>
      <c r="C12" s="93">
        <f>SUM(C13:C14)</f>
        <v>0</v>
      </c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v>0</v>
      </c>
    </row>
    <row r="15" spans="2:11" s="2" customFormat="1" ht="15.75">
      <c r="B15" s="101" t="s">
        <v>118</v>
      </c>
      <c r="C15" s="102">
        <f>SUM(C16+C17+C18)</f>
        <v>0</v>
      </c>
      <c r="H15"/>
      <c r="I15"/>
      <c r="J15"/>
      <c r="K15"/>
    </row>
    <row r="16" spans="2:11" s="2" customFormat="1" ht="15">
      <c r="B16" s="94" t="s">
        <v>119</v>
      </c>
      <c r="C16" s="93">
        <v>0</v>
      </c>
      <c r="H16"/>
      <c r="I16"/>
      <c r="J16"/>
      <c r="K16"/>
    </row>
    <row r="17" spans="2:11" s="2" customFormat="1" ht="15">
      <c r="B17" s="94" t="s">
        <v>120</v>
      </c>
      <c r="C17" s="93">
        <v>0</v>
      </c>
      <c r="H17"/>
      <c r="I17"/>
      <c r="J17"/>
      <c r="K17"/>
    </row>
    <row r="18" spans="2:11" s="2" customFormat="1" ht="15">
      <c r="B18" s="94" t="s">
        <v>121</v>
      </c>
      <c r="C18" s="93">
        <f>SUM(C19+C20)</f>
        <v>0</v>
      </c>
      <c r="H18"/>
      <c r="I18"/>
      <c r="J18"/>
      <c r="K18"/>
    </row>
    <row r="19" spans="2:3" ht="15">
      <c r="B19" s="94" t="s">
        <v>122</v>
      </c>
      <c r="C19" s="93">
        <v>0</v>
      </c>
    </row>
    <row r="20" spans="2:3" ht="15">
      <c r="B20" s="94" t="s">
        <v>123</v>
      </c>
      <c r="C20" s="93">
        <v>0</v>
      </c>
    </row>
    <row r="21" spans="2:3" ht="16.5" thickBot="1">
      <c r="B21" s="101" t="s">
        <v>280</v>
      </c>
      <c r="C21" s="102">
        <v>0</v>
      </c>
    </row>
    <row r="22" spans="2:4" ht="18.75" thickBot="1">
      <c r="B22" s="95" t="s">
        <v>271</v>
      </c>
      <c r="C22" s="96">
        <f>SUM(C8+C15+C21)</f>
        <v>48150</v>
      </c>
      <c r="D22" s="17"/>
    </row>
    <row r="24" spans="3:11" s="2" customFormat="1" ht="12.75">
      <c r="C24" s="97"/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6" sqref="F16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621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754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67</v>
      </c>
      <c r="B8" s="104"/>
      <c r="C8" s="105">
        <f aca="true" t="shared" si="0" ref="C8:C14">SUM(D8:F8)</f>
        <v>2203</v>
      </c>
      <c r="D8" s="110">
        <v>0</v>
      </c>
      <c r="E8" s="110">
        <v>0</v>
      </c>
      <c r="F8" s="110">
        <v>2203</v>
      </c>
      <c r="G8" s="1"/>
      <c r="H8" s="17"/>
      <c r="I8" s="17"/>
      <c r="J8" s="17"/>
    </row>
    <row r="9" spans="1:7" ht="18.75" customHeight="1" thickBot="1">
      <c r="A9" s="20" t="s">
        <v>784</v>
      </c>
      <c r="B9" s="106"/>
      <c r="C9" s="107">
        <f t="shared" si="0"/>
        <v>661</v>
      </c>
      <c r="D9" s="111">
        <v>0</v>
      </c>
      <c r="E9" s="111">
        <v>0</v>
      </c>
      <c r="F9" s="112">
        <v>661</v>
      </c>
      <c r="G9" s="21"/>
    </row>
    <row r="10" spans="1:7" ht="18.75" customHeight="1" thickBot="1">
      <c r="A10" s="20" t="s">
        <v>11</v>
      </c>
      <c r="B10" s="106"/>
      <c r="C10" s="107">
        <f t="shared" si="0"/>
        <v>2975</v>
      </c>
      <c r="D10" s="111">
        <v>0</v>
      </c>
      <c r="E10" s="111">
        <v>0</v>
      </c>
      <c r="F10" s="112">
        <v>2975</v>
      </c>
      <c r="G10" s="21"/>
    </row>
    <row r="11" spans="1:7" ht="18.75" customHeight="1" thickBot="1">
      <c r="A11" s="20" t="s">
        <v>68</v>
      </c>
      <c r="B11" s="106">
        <v>3</v>
      </c>
      <c r="C11" s="107">
        <f t="shared" si="0"/>
        <v>13691</v>
      </c>
      <c r="D11" s="111">
        <f>4950+148+24-470</f>
        <v>4652</v>
      </c>
      <c r="E11" s="111">
        <f>1337+47-120</f>
        <v>1264</v>
      </c>
      <c r="F11" s="112">
        <f>7452+323</f>
        <v>7775</v>
      </c>
      <c r="G11" s="21"/>
    </row>
    <row r="12" spans="1:11" s="2" customFormat="1" ht="18.75" customHeight="1" thickBot="1">
      <c r="A12" s="80" t="s">
        <v>70</v>
      </c>
      <c r="B12" s="106">
        <v>1</v>
      </c>
      <c r="C12" s="107">
        <f t="shared" si="0"/>
        <v>2383</v>
      </c>
      <c r="D12" s="111">
        <f>1554-600</f>
        <v>954</v>
      </c>
      <c r="E12" s="111">
        <f>420-180</f>
        <v>240</v>
      </c>
      <c r="F12" s="112">
        <v>1189</v>
      </c>
      <c r="G12" s="21"/>
      <c r="K12"/>
    </row>
    <row r="13" spans="1:7" ht="18.75" customHeight="1" thickBot="1">
      <c r="A13" s="20" t="s">
        <v>69</v>
      </c>
      <c r="B13" s="106">
        <v>3</v>
      </c>
      <c r="C13" s="107">
        <f t="shared" si="0"/>
        <v>17866</v>
      </c>
      <c r="D13" s="111">
        <f>5147-600</f>
        <v>4547</v>
      </c>
      <c r="E13" s="111">
        <f>1384+6-151</f>
        <v>1239</v>
      </c>
      <c r="F13" s="112">
        <v>12080</v>
      </c>
      <c r="G13" s="21"/>
    </row>
    <row r="14" spans="1:7" ht="18.75" customHeight="1" thickBot="1">
      <c r="A14" s="20" t="s">
        <v>785</v>
      </c>
      <c r="B14" s="106"/>
      <c r="C14" s="107">
        <f t="shared" si="0"/>
        <v>8371</v>
      </c>
      <c r="D14" s="111">
        <v>4058</v>
      </c>
      <c r="E14" s="111">
        <v>1096</v>
      </c>
      <c r="F14" s="112">
        <v>3217</v>
      </c>
      <c r="G14" s="21"/>
    </row>
    <row r="15" spans="1:11" s="2" customFormat="1" ht="18.75" customHeight="1" thickBot="1">
      <c r="A15" s="23"/>
      <c r="B15" s="24"/>
      <c r="C15" s="19"/>
      <c r="D15" s="25"/>
      <c r="E15" s="25"/>
      <c r="F15" s="26"/>
      <c r="G15" s="1"/>
      <c r="K15"/>
    </row>
    <row r="16" spans="1:11" s="2" customFormat="1" ht="18.75" customHeight="1" thickBot="1">
      <c r="A16" s="81" t="s">
        <v>44</v>
      </c>
      <c r="B16" s="108">
        <f>SUM(B8:B15)</f>
        <v>7</v>
      </c>
      <c r="C16" s="109">
        <f>SUM(C8:C15)</f>
        <v>48150</v>
      </c>
      <c r="D16" s="109">
        <f>SUM(D8:D15)</f>
        <v>14211</v>
      </c>
      <c r="E16" s="109">
        <f>SUM(E8:E15)</f>
        <v>3839</v>
      </c>
      <c r="F16" s="75">
        <f>SUM(F8:F15)</f>
        <v>30100</v>
      </c>
      <c r="G16" s="1"/>
      <c r="K16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4">
      <selection activeCell="E27" sqref="E27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SUM('ILMKÖsszes bevétel'!B17)</f>
        <v>0</v>
      </c>
      <c r="E4" s="119" t="s">
        <v>119</v>
      </c>
      <c r="F4" s="120">
        <f>SUM('ILMKÖsszes kiadás'!C16)</f>
        <v>0</v>
      </c>
    </row>
    <row r="5" spans="2:11" ht="15" customHeight="1">
      <c r="B5" s="86" t="s">
        <v>94</v>
      </c>
      <c r="C5" s="72">
        <f>SUM('ILMKÖsszes bevétel'!B20)</f>
        <v>0</v>
      </c>
      <c r="E5" s="121" t="s">
        <v>120</v>
      </c>
      <c r="F5" s="72">
        <f>SUM('ILMKÖsszes kiadás'!C17)</f>
        <v>0</v>
      </c>
      <c r="K5" s="63"/>
    </row>
    <row r="6" spans="2:6" ht="15" customHeight="1">
      <c r="B6" s="86" t="s">
        <v>127</v>
      </c>
      <c r="C6" s="72">
        <f>SUM('ILMKÖsszes bevétel'!B23)</f>
        <v>0</v>
      </c>
      <c r="E6" s="121" t="s">
        <v>121</v>
      </c>
      <c r="F6" s="72">
        <f>SUM('ILMKÖsszes kiadás'!C18)</f>
        <v>0</v>
      </c>
    </row>
    <row r="7" spans="2:6" ht="15" customHeight="1">
      <c r="B7" s="55" t="s">
        <v>128</v>
      </c>
      <c r="C7" s="72">
        <f>SUM('ILMKÖsszes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SUM('ILMKÖsszes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SUM('ILMKÖsszes bevétel'!B8)</f>
        <v>6190</v>
      </c>
      <c r="E12" s="117" t="s">
        <v>112</v>
      </c>
      <c r="F12" s="118">
        <f>SUM('ILMKÖsszes kiadás'!C9)</f>
        <v>14211</v>
      </c>
      <c r="K12" s="63"/>
    </row>
    <row r="13" spans="2:6" ht="15" customHeight="1">
      <c r="B13" s="86" t="s">
        <v>93</v>
      </c>
      <c r="C13" s="72">
        <f>SUM('ILMKÖsszes bevétel'!B19)</f>
        <v>0</v>
      </c>
      <c r="E13" s="121" t="s">
        <v>113</v>
      </c>
      <c r="F13" s="72">
        <f>SUM('ILMKÖsszes kiadás'!C10)</f>
        <v>3839</v>
      </c>
    </row>
    <row r="14" spans="2:8" ht="15" customHeight="1">
      <c r="B14" s="86" t="s">
        <v>96</v>
      </c>
      <c r="C14" s="72">
        <f>SUM('ILMKÖsszes bevétel'!B22)</f>
        <v>9886</v>
      </c>
      <c r="E14" s="121" t="s">
        <v>114</v>
      </c>
      <c r="F14" s="72">
        <f>SUM('ILMKÖsszes kiadás'!C11)</f>
        <v>30100</v>
      </c>
      <c r="H14" s="27"/>
    </row>
    <row r="15" spans="2:6" ht="15" customHeight="1">
      <c r="B15" s="55" t="s">
        <v>131</v>
      </c>
      <c r="C15" s="72">
        <f>SUM('ILMKÖsszes bevétel'!B27)</f>
        <v>323</v>
      </c>
      <c r="E15" s="121" t="s">
        <v>115</v>
      </c>
      <c r="F15" s="72">
        <f>SUM('ILMKÖsszes kiadás'!C12)</f>
        <v>0</v>
      </c>
    </row>
    <row r="16" spans="1:9" s="18" customFormat="1" ht="15" customHeight="1">
      <c r="A16" s="17"/>
      <c r="B16" s="121" t="s">
        <v>277</v>
      </c>
      <c r="C16" s="72">
        <f>SUM('ILMKÖsszes bevétel'!B30)</f>
        <v>0</v>
      </c>
      <c r="D16" s="17"/>
      <c r="E16" s="122" t="s">
        <v>280</v>
      </c>
      <c r="F16" s="73">
        <f>SUM('ILMKÖsszes kiadás'!C21)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SUM('ILMKÖsszes bevétel'!B33)</f>
        <v>31751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48150</v>
      </c>
      <c r="E19" s="115" t="s">
        <v>80</v>
      </c>
      <c r="F19" s="125">
        <f>SUM(F12:F18)</f>
        <v>48150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48150</v>
      </c>
      <c r="E21" s="115" t="s">
        <v>130</v>
      </c>
      <c r="F21" s="125">
        <f>+F9+F19</f>
        <v>48150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9" bottom="0.68" header="0.65" footer="0.5118110236220472"/>
  <pageSetup horizontalDpi="600" verticalDpi="600" orientation="landscape" paperSize="9" scale="91" r:id="rId1"/>
  <headerFooter alignWithMargins="0">
    <oddHeader>&amp;C&amp;"Arial CE,Félkövér"&amp;14 Ibrányi László Művelődési Központ és Könyvtár 2013. évi felhalmozási és működési mérlege&amp;R69. melléklet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2"/>
  <sheetViews>
    <sheetView zoomScalePageLayoutView="0" workbookViewId="0" topLeftCell="D10">
      <selection activeCell="Q20" sqref="Q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623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9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  <c r="R7" s="521"/>
      <c r="S7" s="521"/>
    </row>
    <row r="8" spans="2:19" s="429" customFormat="1" ht="12.75">
      <c r="B8" s="522" t="s">
        <v>81</v>
      </c>
      <c r="C8" s="523">
        <f>SUM('ILMKÖsszes bevétel'!B7)</f>
        <v>6190</v>
      </c>
      <c r="D8" s="524">
        <v>423</v>
      </c>
      <c r="E8" s="525">
        <v>424</v>
      </c>
      <c r="F8" s="525">
        <v>423</v>
      </c>
      <c r="G8" s="525">
        <v>636</v>
      </c>
      <c r="H8" s="525">
        <v>635</v>
      </c>
      <c r="I8" s="525">
        <v>636</v>
      </c>
      <c r="J8" s="525">
        <f>432+1</f>
        <v>433</v>
      </c>
      <c r="K8" s="525">
        <v>516</v>
      </c>
      <c r="L8" s="525">
        <v>516</v>
      </c>
      <c r="M8" s="525">
        <v>516</v>
      </c>
      <c r="N8" s="525">
        <v>516</v>
      </c>
      <c r="O8" s="526">
        <f aca="true" t="shared" si="0" ref="O8:O15">+C8-D8-E8-F8-G8-H8-I8-J8-K8-L8-M8-N8</f>
        <v>516</v>
      </c>
      <c r="P8" s="521"/>
      <c r="Q8" s="521"/>
      <c r="R8" s="521"/>
      <c r="S8" s="521"/>
    </row>
    <row r="9" spans="2:19" s="429" customFormat="1" ht="12.75">
      <c r="B9" s="527" t="s">
        <v>89</v>
      </c>
      <c r="C9" s="512">
        <f>SUM('ILMKÖsszes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  <c r="Q9" s="521"/>
      <c r="R9" s="521"/>
      <c r="S9" s="521"/>
    </row>
    <row r="10" spans="2:19" s="429" customFormat="1" ht="12.75">
      <c r="B10" s="527" t="s">
        <v>90</v>
      </c>
      <c r="C10" s="512">
        <f>SUM('ILMKÖsszes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  <c r="Q10" s="521"/>
      <c r="R10" s="521"/>
      <c r="S10" s="521"/>
    </row>
    <row r="11" spans="2:19" s="429" customFormat="1" ht="12.75">
      <c r="B11" s="527" t="s">
        <v>92</v>
      </c>
      <c r="C11" s="512">
        <f>SUM('ILMKÖsszes bevétel'!B18)</f>
        <v>0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0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  <c r="Q11" s="521"/>
      <c r="R11" s="521"/>
      <c r="S11" s="521"/>
    </row>
    <row r="12" spans="2:19" s="429" customFormat="1" ht="12.75">
      <c r="B12" s="527" t="s">
        <v>95</v>
      </c>
      <c r="C12" s="512">
        <f>SUM('ILMKÖsszes bevétel'!B21)</f>
        <v>9886</v>
      </c>
      <c r="D12" s="528">
        <v>0</v>
      </c>
      <c r="E12" s="529">
        <v>0</v>
      </c>
      <c r="F12" s="529">
        <v>0</v>
      </c>
      <c r="G12" s="529">
        <v>0</v>
      </c>
      <c r="H12" s="529">
        <v>845</v>
      </c>
      <c r="I12" s="529">
        <f>1954-845</f>
        <v>1109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7932</v>
      </c>
      <c r="P12" s="521"/>
      <c r="Q12" s="521"/>
      <c r="R12" s="521"/>
      <c r="S12" s="521"/>
    </row>
    <row r="13" spans="2:19" s="429" customFormat="1" ht="25.5">
      <c r="B13" s="531" t="s">
        <v>146</v>
      </c>
      <c r="C13" s="512">
        <f>SUM('ILMKÖsszes bevétel'!B25)</f>
        <v>323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323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  <c r="Q13" s="521"/>
      <c r="R13" s="521"/>
      <c r="S13" s="521"/>
    </row>
    <row r="14" spans="2:19" s="429" customFormat="1" ht="12.75">
      <c r="B14" s="527" t="s">
        <v>277</v>
      </c>
      <c r="C14" s="512">
        <f>SUM('ILMKÖsszes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  <c r="Q14" s="521"/>
      <c r="R14" s="521"/>
      <c r="S14" s="521"/>
    </row>
    <row r="15" spans="2:19" s="478" customFormat="1" ht="13.5" thickBot="1">
      <c r="B15" s="532" t="s">
        <v>282</v>
      </c>
      <c r="C15" s="533">
        <f>SUM('ILMKÖsszes bevétel'!B32)</f>
        <v>31751</v>
      </c>
      <c r="D15" s="534">
        <f>SUM(D30-D8)</f>
        <v>2301</v>
      </c>
      <c r="E15" s="562">
        <f>SUM(E30-E8)</f>
        <v>2299</v>
      </c>
      <c r="F15" s="562">
        <f>SUM(F30-F8)</f>
        <v>2301</v>
      </c>
      <c r="G15" s="562">
        <f>SUM(G30-G8)</f>
        <v>1645</v>
      </c>
      <c r="H15" s="562">
        <f>SUM(H30-H8-H12)</f>
        <v>801</v>
      </c>
      <c r="I15" s="562">
        <f>SUM(I30-I8-I12-I13)</f>
        <v>0</v>
      </c>
      <c r="J15" s="562">
        <f>SUM(J30-J8-J12)</f>
        <v>1865</v>
      </c>
      <c r="K15" s="562">
        <f>SUM(K30-K8)</f>
        <v>4149</v>
      </c>
      <c r="L15" s="562">
        <f>SUM(L30-L8)</f>
        <v>4150</v>
      </c>
      <c r="M15" s="562">
        <f>SUM(M30-M8)</f>
        <v>4149</v>
      </c>
      <c r="N15" s="562">
        <f>SUM(N30-N8)</f>
        <v>4150</v>
      </c>
      <c r="O15" s="535">
        <f t="shared" si="0"/>
        <v>3941</v>
      </c>
      <c r="P15" s="536"/>
      <c r="Q15" s="536"/>
      <c r="R15" s="536"/>
      <c r="S15" s="536"/>
    </row>
    <row r="16" spans="2:19" s="429" customFormat="1" ht="13.5" thickBot="1">
      <c r="B16" s="537" t="s">
        <v>147</v>
      </c>
      <c r="C16" s="538">
        <f aca="true" t="shared" si="1" ref="C16:O16">SUM(C8:C15)</f>
        <v>48150</v>
      </c>
      <c r="D16" s="539">
        <f t="shared" si="1"/>
        <v>2724</v>
      </c>
      <c r="E16" s="539">
        <f t="shared" si="1"/>
        <v>2723</v>
      </c>
      <c r="F16" s="539">
        <f t="shared" si="1"/>
        <v>2724</v>
      </c>
      <c r="G16" s="539">
        <f t="shared" si="1"/>
        <v>2281</v>
      </c>
      <c r="H16" s="539">
        <f t="shared" si="1"/>
        <v>2281</v>
      </c>
      <c r="I16" s="539">
        <f t="shared" si="1"/>
        <v>2068</v>
      </c>
      <c r="J16" s="539">
        <f t="shared" si="1"/>
        <v>2298</v>
      </c>
      <c r="K16" s="539">
        <f t="shared" si="1"/>
        <v>4665</v>
      </c>
      <c r="L16" s="539">
        <f t="shared" si="1"/>
        <v>4666</v>
      </c>
      <c r="M16" s="539">
        <f t="shared" si="1"/>
        <v>4665</v>
      </c>
      <c r="N16" s="539">
        <f t="shared" si="1"/>
        <v>4666</v>
      </c>
      <c r="O16" s="539">
        <f t="shared" si="1"/>
        <v>12389</v>
      </c>
      <c r="P16" s="521"/>
      <c r="Q16" s="521"/>
      <c r="R16" s="521"/>
      <c r="S16" s="521"/>
    </row>
    <row r="17" spans="2:19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</row>
    <row r="18" spans="2:19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</row>
    <row r="19" spans="2:19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</row>
    <row r="20" spans="2:19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</row>
    <row r="21" spans="2:19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  <c r="Q21" s="521"/>
      <c r="R21" s="521"/>
      <c r="S21" s="521"/>
    </row>
    <row r="22" spans="2:19" s="429" customFormat="1" ht="12.75">
      <c r="B22" s="542" t="s">
        <v>112</v>
      </c>
      <c r="C22" s="523">
        <f>SUM('ILMKÖsszes kiadás'!C9)</f>
        <v>14211</v>
      </c>
      <c r="D22" s="543">
        <v>789</v>
      </c>
      <c r="E22" s="525">
        <v>788</v>
      </c>
      <c r="F22" s="525">
        <v>789</v>
      </c>
      <c r="G22" s="525">
        <v>769</v>
      </c>
      <c r="H22" s="525">
        <v>768</v>
      </c>
      <c r="I22" s="525">
        <v>769</v>
      </c>
      <c r="J22" s="525">
        <v>1229</v>
      </c>
      <c r="K22" s="525">
        <v>1064</v>
      </c>
      <c r="L22" s="525">
        <v>1065</v>
      </c>
      <c r="M22" s="525">
        <v>1064</v>
      </c>
      <c r="N22" s="525">
        <v>1065</v>
      </c>
      <c r="O22" s="526">
        <f aca="true" t="shared" si="2" ref="O22:O30">+C22-D22-E22-F22-G22-H22-I22-J22-K22-L22-M22-N22</f>
        <v>4052</v>
      </c>
      <c r="P22" s="521"/>
      <c r="Q22" s="521"/>
      <c r="R22" s="521"/>
      <c r="S22" s="521"/>
    </row>
    <row r="23" spans="2:19" s="429" customFormat="1" ht="12.75">
      <c r="B23" s="544" t="s">
        <v>113</v>
      </c>
      <c r="C23" s="512">
        <f>SUM('ILMKÖsszes kiadás'!C10)</f>
        <v>3839</v>
      </c>
      <c r="D23" s="545">
        <v>213</v>
      </c>
      <c r="E23" s="529">
        <v>212</v>
      </c>
      <c r="F23" s="529">
        <v>213</v>
      </c>
      <c r="G23" s="529">
        <v>205</v>
      </c>
      <c r="H23" s="529">
        <v>205</v>
      </c>
      <c r="I23" s="529">
        <v>205</v>
      </c>
      <c r="J23" s="529">
        <v>341</v>
      </c>
      <c r="K23" s="529">
        <v>320</v>
      </c>
      <c r="L23" s="529">
        <v>320</v>
      </c>
      <c r="M23" s="529">
        <v>320</v>
      </c>
      <c r="N23" s="529">
        <v>320</v>
      </c>
      <c r="O23" s="530">
        <f t="shared" si="2"/>
        <v>965</v>
      </c>
      <c r="P23" s="521"/>
      <c r="Q23" s="521"/>
      <c r="R23" s="521"/>
      <c r="S23" s="521"/>
    </row>
    <row r="24" spans="2:19" s="429" customFormat="1" ht="12.75">
      <c r="B24" s="544" t="s">
        <v>114</v>
      </c>
      <c r="C24" s="512">
        <f>SUM('ILMKÖsszes kiadás'!C11)</f>
        <v>30100</v>
      </c>
      <c r="D24" s="545">
        <v>1722</v>
      </c>
      <c r="E24" s="529">
        <v>1723</v>
      </c>
      <c r="F24" s="529">
        <v>1722</v>
      </c>
      <c r="G24" s="529">
        <v>1307</v>
      </c>
      <c r="H24" s="529">
        <v>1308</v>
      </c>
      <c r="I24" s="529">
        <v>1307</v>
      </c>
      <c r="J24" s="529">
        <v>728</v>
      </c>
      <c r="K24" s="529">
        <v>3281</v>
      </c>
      <c r="L24" s="529">
        <v>3281</v>
      </c>
      <c r="M24" s="529">
        <v>3281</v>
      </c>
      <c r="N24" s="529">
        <v>3281</v>
      </c>
      <c r="O24" s="530">
        <f t="shared" si="2"/>
        <v>7159</v>
      </c>
      <c r="P24" s="521"/>
      <c r="Q24" s="521"/>
      <c r="R24" s="521"/>
      <c r="S24" s="521"/>
    </row>
    <row r="25" spans="2:19" s="429" customFormat="1" ht="12.75">
      <c r="B25" s="546" t="s">
        <v>115</v>
      </c>
      <c r="C25" s="512">
        <f>SUM('ILMKÖsszes kiadás'!C12)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2"/>
        <v>0</v>
      </c>
      <c r="P25" s="521"/>
      <c r="Q25" s="521"/>
      <c r="R25" s="521"/>
      <c r="S25" s="521"/>
    </row>
    <row r="26" spans="2:19" s="429" customFormat="1" ht="12.75">
      <c r="B26" s="544" t="s">
        <v>119</v>
      </c>
      <c r="C26" s="512">
        <f>SUM('ILMKÖsszes kiadás'!C16)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0</v>
      </c>
      <c r="O26" s="530">
        <f t="shared" si="2"/>
        <v>0</v>
      </c>
      <c r="P26" s="521"/>
      <c r="Q26" s="521"/>
      <c r="R26" s="521"/>
      <c r="S26" s="521"/>
    </row>
    <row r="27" spans="2:19" s="429" customFormat="1" ht="12.75">
      <c r="B27" s="544" t="s">
        <v>120</v>
      </c>
      <c r="C27" s="512">
        <f>SUM('ILMKÖsszes kiadás'!C17)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2"/>
        <v>0</v>
      </c>
      <c r="P27" s="521"/>
      <c r="Q27" s="521"/>
      <c r="R27" s="521"/>
      <c r="S27" s="521"/>
    </row>
    <row r="28" spans="2:19" s="429" customFormat="1" ht="12.75">
      <c r="B28" s="544" t="s">
        <v>121</v>
      </c>
      <c r="C28" s="512">
        <f>SUM('ILMKÖsszes kiadás'!C18)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  <c r="R28" s="521"/>
      <c r="S28" s="521"/>
    </row>
    <row r="29" spans="2:19" s="429" customFormat="1" ht="13.5" thickBot="1">
      <c r="B29" s="544" t="s">
        <v>280</v>
      </c>
      <c r="C29" s="512">
        <f>SUM('ILMKÖsszes kiadás'!C21)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-213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213</v>
      </c>
      <c r="P29" s="521"/>
      <c r="Q29" s="521"/>
      <c r="R29" s="521"/>
      <c r="S29" s="521"/>
    </row>
    <row r="30" spans="2:19" s="429" customFormat="1" ht="13.5" thickBot="1">
      <c r="B30" s="537" t="s">
        <v>148</v>
      </c>
      <c r="C30" s="538">
        <f aca="true" t="shared" si="3" ref="C30:N30">SUM(C22:C29)</f>
        <v>48150</v>
      </c>
      <c r="D30" s="539">
        <f t="shared" si="3"/>
        <v>2724</v>
      </c>
      <c r="E30" s="539">
        <f t="shared" si="3"/>
        <v>2723</v>
      </c>
      <c r="F30" s="539">
        <f t="shared" si="3"/>
        <v>2724</v>
      </c>
      <c r="G30" s="539">
        <f t="shared" si="3"/>
        <v>2281</v>
      </c>
      <c r="H30" s="539">
        <f t="shared" si="3"/>
        <v>2281</v>
      </c>
      <c r="I30" s="539">
        <f t="shared" si="3"/>
        <v>2068</v>
      </c>
      <c r="J30" s="539">
        <f t="shared" si="3"/>
        <v>2298</v>
      </c>
      <c r="K30" s="539">
        <f t="shared" si="3"/>
        <v>4665</v>
      </c>
      <c r="L30" s="539">
        <f t="shared" si="3"/>
        <v>4666</v>
      </c>
      <c r="M30" s="539">
        <f t="shared" si="3"/>
        <v>4665</v>
      </c>
      <c r="N30" s="539">
        <f t="shared" si="3"/>
        <v>4666</v>
      </c>
      <c r="O30" s="539">
        <f t="shared" si="2"/>
        <v>12389</v>
      </c>
      <c r="P30" s="521"/>
      <c r="Q30" s="521"/>
      <c r="R30" s="521"/>
      <c r="S30" s="521"/>
    </row>
    <row r="32" spans="3:10" ht="12.75">
      <c r="C32" s="27"/>
      <c r="D32" s="63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4"/>
  <sheetViews>
    <sheetView zoomScalePageLayoutView="0" workbookViewId="0" topLeftCell="D1">
      <selection activeCell="R20" sqref="R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435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323</v>
      </c>
      <c r="E8" s="550">
        <f aca="true" t="shared" si="0" ref="E8:O8">SUM(D26)</f>
        <v>294</v>
      </c>
      <c r="F8" s="551">
        <f t="shared" si="0"/>
        <v>267</v>
      </c>
      <c r="G8" s="551">
        <f t="shared" si="0"/>
        <v>238</v>
      </c>
      <c r="H8" s="551">
        <f t="shared" si="0"/>
        <v>183</v>
      </c>
      <c r="I8" s="551">
        <f t="shared" si="0"/>
        <v>973</v>
      </c>
      <c r="J8" s="551">
        <f t="shared" si="0"/>
        <v>2240</v>
      </c>
      <c r="K8" s="551">
        <f t="shared" si="0"/>
        <v>2125</v>
      </c>
      <c r="L8" s="551">
        <f t="shared" si="0"/>
        <v>2538</v>
      </c>
      <c r="M8" s="551">
        <f t="shared" si="0"/>
        <v>8543</v>
      </c>
      <c r="N8" s="551">
        <f t="shared" si="0"/>
        <v>5157</v>
      </c>
      <c r="O8" s="552">
        <f t="shared" si="0"/>
        <v>1247</v>
      </c>
      <c r="P8" s="553"/>
    </row>
    <row r="9" spans="2:16" s="429" customFormat="1" ht="12.75">
      <c r="B9" s="522" t="s">
        <v>81</v>
      </c>
      <c r="C9" s="554"/>
      <c r="D9" s="524">
        <f>SUM('ILMK_Ei.felhaszn.'!D8)</f>
        <v>423</v>
      </c>
      <c r="E9" s="524">
        <f>SUM('ILMK_Ei.felhaszn.'!E8)</f>
        <v>424</v>
      </c>
      <c r="F9" s="524">
        <f>SUM('ILMK_Ei.felhaszn.'!F8)</f>
        <v>423</v>
      </c>
      <c r="G9" s="524">
        <f>SUM('ILMK_Ei.felhaszn.'!G8)</f>
        <v>636</v>
      </c>
      <c r="H9" s="524">
        <f>SUM('ILMK_Ei.felhaszn.'!H8)</f>
        <v>635</v>
      </c>
      <c r="I9" s="524">
        <f>SUM('ILMK_Ei.felhaszn.'!I8)</f>
        <v>636</v>
      </c>
      <c r="J9" s="524">
        <f>SUM('ILMK_Ei.felhaszn.'!J8)</f>
        <v>433</v>
      </c>
      <c r="K9" s="524">
        <v>352</v>
      </c>
      <c r="L9" s="524">
        <v>657</v>
      </c>
      <c r="M9" s="524">
        <v>587</v>
      </c>
      <c r="N9" s="524">
        <v>456</v>
      </c>
      <c r="O9" s="526">
        <f aca="true" t="shared" si="1" ref="O9:O14">+P9-D9-E9-F9-G9-H9-I9-J9-K9-L9-M9-N9</f>
        <v>528</v>
      </c>
      <c r="P9" s="523">
        <f>SUM('ILMK_Ei.felhaszn.'!C8)</f>
        <v>6190</v>
      </c>
    </row>
    <row r="10" spans="2:16" s="429" customFormat="1" ht="12.75">
      <c r="B10" s="527" t="s">
        <v>89</v>
      </c>
      <c r="C10" s="555"/>
      <c r="D10" s="528">
        <f>SUM('ILMK_Ei.felhaszn.'!D9)</f>
        <v>0</v>
      </c>
      <c r="E10" s="529">
        <f>SUM('ILMK_Ei.felhaszn.'!E9)</f>
        <v>0</v>
      </c>
      <c r="F10" s="529">
        <f>SUM('ILMK_Ei.felhaszn.'!F9)</f>
        <v>0</v>
      </c>
      <c r="G10" s="529">
        <f>SUM('ILMK_Ei.felhaszn.'!G9)</f>
        <v>0</v>
      </c>
      <c r="H10" s="529">
        <f>SUM('ILMK_Ei.felhaszn.'!H9)</f>
        <v>0</v>
      </c>
      <c r="I10" s="529">
        <f>SUM('ILMK_Ei.felhaszn.'!I9)</f>
        <v>0</v>
      </c>
      <c r="J10" s="529">
        <f>SUM('ILMK_Ei.felhaszn.'!J9)</f>
        <v>0</v>
      </c>
      <c r="K10" s="529">
        <f>SUM('ILMK_Ei.felhaszn.'!K9)</f>
        <v>0</v>
      </c>
      <c r="L10" s="529">
        <f>SUM('ILMK_Ei.felhaszn.'!L9)</f>
        <v>0</v>
      </c>
      <c r="M10" s="529">
        <v>0</v>
      </c>
      <c r="N10" s="529">
        <f>SUM('ILMK_Ei.felhaszn.'!N9)</f>
        <v>0</v>
      </c>
      <c r="O10" s="530">
        <f t="shared" si="1"/>
        <v>0</v>
      </c>
      <c r="P10" s="512">
        <f>SUM('ILMK_Ei.felhaszn.'!C9)</f>
        <v>0</v>
      </c>
    </row>
    <row r="11" spans="2:16" s="429" customFormat="1" ht="12.75">
      <c r="B11" s="527" t="s">
        <v>90</v>
      </c>
      <c r="C11" s="555"/>
      <c r="D11" s="528">
        <f>SUM('ILMK_Ei.felhaszn.'!D10)</f>
        <v>0</v>
      </c>
      <c r="E11" s="529">
        <f>SUM('ILMK_Ei.felhaszn.'!E10)</f>
        <v>0</v>
      </c>
      <c r="F11" s="529">
        <f>SUM('ILMK_Ei.felhaszn.'!F10)</f>
        <v>0</v>
      </c>
      <c r="G11" s="529">
        <f>SUM('ILMK_Ei.felhaszn.'!G10)</f>
        <v>0</v>
      </c>
      <c r="H11" s="529">
        <f>SUM('ILMK_Ei.felhaszn.'!H10)</f>
        <v>0</v>
      </c>
      <c r="I11" s="529">
        <f>SUM('ILMK_Ei.felhaszn.'!I10)</f>
        <v>0</v>
      </c>
      <c r="J11" s="529">
        <f>SUM('ILMK_Ei.felhaszn.'!J10)</f>
        <v>0</v>
      </c>
      <c r="K11" s="529">
        <f>SUM('ILMK_Ei.felhaszn.'!K10)</f>
        <v>0</v>
      </c>
      <c r="L11" s="529">
        <f>SUM('ILMK_Ei.felhaszn.'!L10)</f>
        <v>0</v>
      </c>
      <c r="M11" s="529">
        <v>0</v>
      </c>
      <c r="N11" s="529">
        <f>SUM('ILMK_Ei.felhaszn.'!N10)</f>
        <v>0</v>
      </c>
      <c r="O11" s="530">
        <f t="shared" si="1"/>
        <v>0</v>
      </c>
      <c r="P11" s="512">
        <f>SUM('ILMK_Ei.felhaszn.'!C10)</f>
        <v>0</v>
      </c>
    </row>
    <row r="12" spans="2:16" s="429" customFormat="1" ht="12.75">
      <c r="B12" s="527" t="s">
        <v>92</v>
      </c>
      <c r="C12" s="555"/>
      <c r="D12" s="528">
        <f>SUM('ILMK_Ei.felhaszn.'!D11)</f>
        <v>0</v>
      </c>
      <c r="E12" s="529">
        <f>SUM('ILMK_Ei.felhaszn.'!E11)</f>
        <v>0</v>
      </c>
      <c r="F12" s="529">
        <f>SUM('ILMK_Ei.felhaszn.'!F11)</f>
        <v>0</v>
      </c>
      <c r="G12" s="529">
        <f>SUM('ILMK_Ei.felhaszn.'!G11)</f>
        <v>0</v>
      </c>
      <c r="H12" s="529">
        <f>SUM('ILMK_Ei.felhaszn.'!H11)</f>
        <v>0</v>
      </c>
      <c r="I12" s="529">
        <f>SUM('ILMK_Ei.felhaszn.'!I11)</f>
        <v>0</v>
      </c>
      <c r="J12" s="529">
        <f>SUM('ILMK_Ei.felhaszn.'!J11)</f>
        <v>0</v>
      </c>
      <c r="K12" s="529">
        <f>SUM('ILMK_Ei.felhaszn.'!K11)</f>
        <v>0</v>
      </c>
      <c r="L12" s="529">
        <f>SUM('ILMK_Ei.felhaszn.'!L11)</f>
        <v>0</v>
      </c>
      <c r="M12" s="529">
        <v>0</v>
      </c>
      <c r="N12" s="529">
        <f>SUM('ILMK_Ei.felhaszn.'!N11)</f>
        <v>0</v>
      </c>
      <c r="O12" s="530">
        <f t="shared" si="1"/>
        <v>0</v>
      </c>
      <c r="P12" s="512">
        <f>SUM('ILMK_Ei.felhaszn.'!C11)</f>
        <v>0</v>
      </c>
    </row>
    <row r="13" spans="2:16" s="429" customFormat="1" ht="12.75">
      <c r="B13" s="527" t="s">
        <v>95</v>
      </c>
      <c r="C13" s="555"/>
      <c r="D13" s="528">
        <f>SUM('ILMK_Ei.felhaszn.'!D12)</f>
        <v>0</v>
      </c>
      <c r="E13" s="529">
        <f>SUM('ILMK_Ei.felhaszn.'!E12)</f>
        <v>0</v>
      </c>
      <c r="F13" s="529">
        <f>SUM('ILMK_Ei.felhaszn.'!F12)</f>
        <v>0</v>
      </c>
      <c r="G13" s="529">
        <f>SUM('ILMK_Ei.felhaszn.'!G12)</f>
        <v>0</v>
      </c>
      <c r="H13" s="529">
        <f>SUM('ILMK_Ei.felhaszn.'!H12)</f>
        <v>845</v>
      </c>
      <c r="I13" s="529">
        <f>SUM('ILMK_Ei.felhaszn.'!I12)</f>
        <v>1109</v>
      </c>
      <c r="J13" s="529">
        <f>SUM('ILMK_Ei.felhaszn.'!J12)</f>
        <v>0</v>
      </c>
      <c r="K13" s="529">
        <v>286</v>
      </c>
      <c r="L13" s="529">
        <v>6250</v>
      </c>
      <c r="M13" s="529">
        <v>296</v>
      </c>
      <c r="N13" s="529">
        <f>SUM('ILMK_Ei.felhaszn.'!N12)</f>
        <v>0</v>
      </c>
      <c r="O13" s="530">
        <f t="shared" si="1"/>
        <v>-296</v>
      </c>
      <c r="P13" s="512">
        <v>8490</v>
      </c>
    </row>
    <row r="14" spans="2:16" s="429" customFormat="1" ht="12.75">
      <c r="B14" s="527" t="s">
        <v>277</v>
      </c>
      <c r="C14" s="555"/>
      <c r="D14" s="528">
        <f>SUM('ILMK_Ei.felhaszn.'!D14)</f>
        <v>0</v>
      </c>
      <c r="E14" s="529">
        <f>SUM('ILMK_Ei.felhaszn.'!E14)</f>
        <v>0</v>
      </c>
      <c r="F14" s="529">
        <f>SUM('ILMK_Ei.felhaszn.'!F14)</f>
        <v>0</v>
      </c>
      <c r="G14" s="529">
        <f>SUM('ILMK_Ei.felhaszn.'!G14)</f>
        <v>0</v>
      </c>
      <c r="H14" s="529">
        <f>SUM('ILMK_Ei.felhaszn.'!H14)</f>
        <v>0</v>
      </c>
      <c r="I14" s="529">
        <f>SUM('ILMK_Ei.felhaszn.'!I14)</f>
        <v>0</v>
      </c>
      <c r="J14" s="529">
        <f>SUM('ILMK_Ei.felhaszn.'!J14)</f>
        <v>0</v>
      </c>
      <c r="K14" s="529">
        <f>SUM('ILMK_Ei.felhaszn.'!K14)</f>
        <v>0</v>
      </c>
      <c r="L14" s="529">
        <f>SUM('ILMK_Ei.felhaszn.'!L14)</f>
        <v>0</v>
      </c>
      <c r="M14" s="529">
        <v>0</v>
      </c>
      <c r="N14" s="529">
        <f>SUM('ILMK_Ei.felhaszn.'!N14)</f>
        <v>0</v>
      </c>
      <c r="O14" s="530">
        <f t="shared" si="1"/>
        <v>0</v>
      </c>
      <c r="P14" s="512">
        <f>SUM('ILMK_Ei.felhaszn.'!C14)</f>
        <v>0</v>
      </c>
    </row>
    <row r="15" spans="2:16" s="478" customFormat="1" ht="13.5" thickBot="1">
      <c r="B15" s="532" t="s">
        <v>282</v>
      </c>
      <c r="C15" s="556"/>
      <c r="D15" s="534">
        <v>2272</v>
      </c>
      <c r="E15" s="534">
        <v>2272</v>
      </c>
      <c r="F15" s="534">
        <v>2272</v>
      </c>
      <c r="G15" s="534">
        <v>1590</v>
      </c>
      <c r="H15" s="534">
        <v>1591</v>
      </c>
      <c r="I15" s="534">
        <v>1590</v>
      </c>
      <c r="J15" s="534">
        <v>1857</v>
      </c>
      <c r="K15" s="534">
        <v>2111</v>
      </c>
      <c r="L15" s="534">
        <v>1965</v>
      </c>
      <c r="M15" s="534">
        <v>0</v>
      </c>
      <c r="N15" s="534">
        <v>522</v>
      </c>
      <c r="O15" s="534">
        <f>SUM(O25-O8-O9-O10-O11-O12-O13-O14)</f>
        <v>15105</v>
      </c>
      <c r="P15" s="533">
        <f>SUM(D15:O15)</f>
        <v>33147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2695</v>
      </c>
      <c r="E16" s="539">
        <f t="shared" si="2"/>
        <v>2696</v>
      </c>
      <c r="F16" s="539">
        <f t="shared" si="2"/>
        <v>2695</v>
      </c>
      <c r="G16" s="539">
        <f t="shared" si="2"/>
        <v>2226</v>
      </c>
      <c r="H16" s="539">
        <f t="shared" si="2"/>
        <v>3071</v>
      </c>
      <c r="I16" s="539">
        <f t="shared" si="2"/>
        <v>3335</v>
      </c>
      <c r="J16" s="539">
        <f t="shared" si="2"/>
        <v>2290</v>
      </c>
      <c r="K16" s="539">
        <f t="shared" si="2"/>
        <v>2749</v>
      </c>
      <c r="L16" s="539">
        <f t="shared" si="2"/>
        <v>8872</v>
      </c>
      <c r="M16" s="539">
        <f t="shared" si="2"/>
        <v>883</v>
      </c>
      <c r="N16" s="539">
        <f t="shared" si="2"/>
        <v>978</v>
      </c>
      <c r="O16" s="539">
        <f t="shared" si="2"/>
        <v>15337</v>
      </c>
      <c r="P16" s="538">
        <f t="shared" si="2"/>
        <v>47827</v>
      </c>
    </row>
    <row r="17" spans="2:16" s="429" customFormat="1" ht="12.75">
      <c r="B17" s="542" t="s">
        <v>112</v>
      </c>
      <c r="C17" s="554"/>
      <c r="D17" s="543">
        <f>SUM('ILMK_Ei.felhaszn.'!D22)</f>
        <v>789</v>
      </c>
      <c r="E17" s="525">
        <f>SUM('ILMK_Ei.felhaszn.'!E22)</f>
        <v>788</v>
      </c>
      <c r="F17" s="525">
        <f>SUM('ILMK_Ei.felhaszn.'!F22)</f>
        <v>789</v>
      </c>
      <c r="G17" s="525">
        <f>SUM('ILMK_Ei.felhaszn.'!G22)</f>
        <v>769</v>
      </c>
      <c r="H17" s="525">
        <f>SUM('ILMK_Ei.felhaszn.'!H22)</f>
        <v>768</v>
      </c>
      <c r="I17" s="525">
        <f>SUM('ILMK_Ei.felhaszn.'!I22)</f>
        <v>769</v>
      </c>
      <c r="J17" s="525">
        <f>SUM('ILMK_Ei.felhaszn.'!J22)</f>
        <v>1229</v>
      </c>
      <c r="K17" s="525">
        <v>1238</v>
      </c>
      <c r="L17" s="525">
        <v>1238</v>
      </c>
      <c r="M17" s="525">
        <v>1238</v>
      </c>
      <c r="N17" s="525">
        <v>2441</v>
      </c>
      <c r="O17" s="526">
        <f>+P17-D17-E17-F17-G17-H17-I17-J17-K17-L17-M17-N17</f>
        <v>2155</v>
      </c>
      <c r="P17" s="523">
        <f>SUM('ILMK_Ei.felhaszn.'!C22)</f>
        <v>14211</v>
      </c>
    </row>
    <row r="18" spans="2:16" s="429" customFormat="1" ht="12.75">
      <c r="B18" s="544" t="s">
        <v>113</v>
      </c>
      <c r="C18" s="555"/>
      <c r="D18" s="545">
        <f>SUM('ILMK_Ei.felhaszn.'!D23)</f>
        <v>213</v>
      </c>
      <c r="E18" s="529">
        <f>SUM('ILMK_Ei.felhaszn.'!E23)</f>
        <v>212</v>
      </c>
      <c r="F18" s="529">
        <f>SUM('ILMK_Ei.felhaszn.'!F23)</f>
        <v>213</v>
      </c>
      <c r="G18" s="529">
        <f>SUM('ILMK_Ei.felhaszn.'!G23)</f>
        <v>205</v>
      </c>
      <c r="H18" s="529">
        <f>SUM('ILMK_Ei.felhaszn.'!H23)</f>
        <v>205</v>
      </c>
      <c r="I18" s="529">
        <f>SUM('ILMK_Ei.felhaszn.'!I23)</f>
        <v>205</v>
      </c>
      <c r="J18" s="529">
        <f>SUM('ILMK_Ei.felhaszn.'!J23)</f>
        <v>341</v>
      </c>
      <c r="K18" s="529">
        <v>333</v>
      </c>
      <c r="L18" s="529">
        <v>333</v>
      </c>
      <c r="M18" s="529">
        <v>332</v>
      </c>
      <c r="N18" s="529">
        <v>625</v>
      </c>
      <c r="O18" s="530">
        <f aca="true" t="shared" si="3" ref="O18:O24">+P18-D18-E18-F18-G18-H18-I18-J18-K18-L18-M18-N18</f>
        <v>622</v>
      </c>
      <c r="P18" s="512">
        <f>SUM('ILMK_Ei.felhaszn.'!C23)</f>
        <v>3839</v>
      </c>
    </row>
    <row r="19" spans="2:16" s="429" customFormat="1" ht="12.75">
      <c r="B19" s="544" t="s">
        <v>114</v>
      </c>
      <c r="C19" s="555"/>
      <c r="D19" s="545">
        <f>SUM('ILMK_Ei.felhaszn.'!D24)</f>
        <v>1722</v>
      </c>
      <c r="E19" s="529">
        <f>SUM('ILMK_Ei.felhaszn.'!E24)</f>
        <v>1723</v>
      </c>
      <c r="F19" s="529">
        <f>SUM('ILMK_Ei.felhaszn.'!F24)</f>
        <v>1722</v>
      </c>
      <c r="G19" s="529">
        <f>SUM('ILMK_Ei.felhaszn.'!G24)</f>
        <v>1307</v>
      </c>
      <c r="H19" s="529">
        <f>SUM('ILMK_Ei.felhaszn.'!H24)</f>
        <v>1308</v>
      </c>
      <c r="I19" s="529">
        <f>SUM('ILMK_Ei.felhaszn.'!I24)</f>
        <v>1307</v>
      </c>
      <c r="J19" s="529">
        <f>SUM('ILMK_Ei.felhaszn.'!J24)</f>
        <v>728</v>
      </c>
      <c r="K19" s="529">
        <v>657</v>
      </c>
      <c r="L19" s="529">
        <v>1298</v>
      </c>
      <c r="M19" s="529">
        <v>2020</v>
      </c>
      <c r="N19" s="529">
        <v>2501</v>
      </c>
      <c r="O19" s="530">
        <f t="shared" si="3"/>
        <v>13807</v>
      </c>
      <c r="P19" s="512">
        <f>SUM('ILMK_Ei.felhaszn.'!C24)</f>
        <v>30100</v>
      </c>
    </row>
    <row r="20" spans="2:16" s="429" customFormat="1" ht="12.75">
      <c r="B20" s="546" t="s">
        <v>115</v>
      </c>
      <c r="C20" s="555"/>
      <c r="D20" s="545">
        <f>SUM('ILMK_Ei.felhaszn.'!D25)</f>
        <v>0</v>
      </c>
      <c r="E20" s="529">
        <f>SUM('ILMK_Ei.felhaszn.'!E25)</f>
        <v>0</v>
      </c>
      <c r="F20" s="529">
        <f>SUM('ILMK_Ei.felhaszn.'!F25)</f>
        <v>0</v>
      </c>
      <c r="G20" s="529">
        <f>SUM('ILMK_Ei.felhaszn.'!G25)</f>
        <v>0</v>
      </c>
      <c r="H20" s="529">
        <f>SUM('ILMK_Ei.felhaszn.'!H25)</f>
        <v>0</v>
      </c>
      <c r="I20" s="529">
        <f>SUM('ILMK_Ei.felhaszn.'!I25)</f>
        <v>0</v>
      </c>
      <c r="J20" s="529">
        <f>SUM('ILMK_Ei.felhaszn.'!J25)</f>
        <v>0</v>
      </c>
      <c r="K20" s="529">
        <f>SUM('ILMK_Ei.felhaszn.'!K25)</f>
        <v>0</v>
      </c>
      <c r="L20" s="529">
        <f>SUM('ILMK_Ei.felhaszn.'!L25)</f>
        <v>0</v>
      </c>
      <c r="M20" s="529">
        <v>0</v>
      </c>
      <c r="N20" s="529">
        <f>SUM('ILMK_Ei.felhaszn.'!N25)</f>
        <v>0</v>
      </c>
      <c r="O20" s="530">
        <f t="shared" si="3"/>
        <v>0</v>
      </c>
      <c r="P20" s="512">
        <f>SUM('ILMK_Ei.felhaszn.'!C25)</f>
        <v>0</v>
      </c>
    </row>
    <row r="21" spans="2:16" s="429" customFormat="1" ht="12.75">
      <c r="B21" s="544" t="s">
        <v>119</v>
      </c>
      <c r="C21" s="555"/>
      <c r="D21" s="545">
        <f>SUM('ILMK_Ei.felhaszn.'!D26)</f>
        <v>0</v>
      </c>
      <c r="E21" s="529">
        <f>SUM('ILMK_Ei.felhaszn.'!E26)</f>
        <v>0</v>
      </c>
      <c r="F21" s="529">
        <f>SUM('ILMK_Ei.felhaszn.'!F26)</f>
        <v>0</v>
      </c>
      <c r="G21" s="529">
        <f>SUM('ILMK_Ei.felhaszn.'!G26)</f>
        <v>0</v>
      </c>
      <c r="H21" s="529">
        <f>SUM('ILMK_Ei.felhaszn.'!H26)</f>
        <v>0</v>
      </c>
      <c r="I21" s="529">
        <f>SUM('ILMK_Ei.felhaszn.'!I26)</f>
        <v>0</v>
      </c>
      <c r="J21" s="529">
        <f>SUM('ILMK_Ei.felhaszn.'!J26)</f>
        <v>0</v>
      </c>
      <c r="K21" s="529">
        <f>SUM('ILMK_Ei.felhaszn.'!K26)</f>
        <v>0</v>
      </c>
      <c r="L21" s="529">
        <f>SUM('ILMK_Ei.felhaszn.'!L26)</f>
        <v>0</v>
      </c>
      <c r="M21" s="529">
        <v>0</v>
      </c>
      <c r="N21" s="529">
        <f>SUM('ILMK_Ei.felhaszn.'!N26)</f>
        <v>0</v>
      </c>
      <c r="O21" s="530">
        <f t="shared" si="3"/>
        <v>0</v>
      </c>
      <c r="P21" s="512">
        <f>SUM('ILMK_Ei.felhaszn.'!C26)</f>
        <v>0</v>
      </c>
    </row>
    <row r="22" spans="2:16" s="429" customFormat="1" ht="12.75">
      <c r="B22" s="544" t="s">
        <v>120</v>
      </c>
      <c r="C22" s="555"/>
      <c r="D22" s="545">
        <f>SUM('ILMK_Ei.felhaszn.'!D27)</f>
        <v>0</v>
      </c>
      <c r="E22" s="529">
        <f>SUM('ILMK_Ei.felhaszn.'!E27)</f>
        <v>0</v>
      </c>
      <c r="F22" s="529">
        <f>SUM('ILMK_Ei.felhaszn.'!F27)</f>
        <v>0</v>
      </c>
      <c r="G22" s="529">
        <f>SUM('ILMK_Ei.felhaszn.'!G27)</f>
        <v>0</v>
      </c>
      <c r="H22" s="529">
        <f>SUM('ILMK_Ei.felhaszn.'!H27)</f>
        <v>0</v>
      </c>
      <c r="I22" s="529">
        <f>SUM('ILMK_Ei.felhaszn.'!I27)</f>
        <v>0</v>
      </c>
      <c r="J22" s="529">
        <f>SUM('ILMK_Ei.felhaszn.'!J27)</f>
        <v>0</v>
      </c>
      <c r="K22" s="529">
        <f>SUM('ILMK_Ei.felhaszn.'!K27)</f>
        <v>0</v>
      </c>
      <c r="L22" s="529">
        <f>SUM('ILMK_Ei.felhaszn.'!L27)</f>
        <v>0</v>
      </c>
      <c r="M22" s="529">
        <v>0</v>
      </c>
      <c r="N22" s="529">
        <f>SUM('ILMK_Ei.felhaszn.'!N27)</f>
        <v>0</v>
      </c>
      <c r="O22" s="530">
        <f t="shared" si="3"/>
        <v>0</v>
      </c>
      <c r="P22" s="512">
        <f>SUM('ILMK_Ei.felhaszn.'!C27)</f>
        <v>0</v>
      </c>
    </row>
    <row r="23" spans="2:16" s="429" customFormat="1" ht="12.75">
      <c r="B23" s="544" t="s">
        <v>121</v>
      </c>
      <c r="C23" s="555"/>
      <c r="D23" s="545">
        <f>SUM('ILMK_Ei.felhaszn.'!D28)</f>
        <v>0</v>
      </c>
      <c r="E23" s="529">
        <f>SUM('ILMK_Ei.felhaszn.'!E28)</f>
        <v>0</v>
      </c>
      <c r="F23" s="529">
        <f>SUM('ILMK_Ei.felhaszn.'!F28)</f>
        <v>0</v>
      </c>
      <c r="G23" s="529">
        <f>SUM('ILMK_Ei.felhaszn.'!G28)</f>
        <v>0</v>
      </c>
      <c r="H23" s="529">
        <f>SUM('ILMK_Ei.felhaszn.'!H28)</f>
        <v>0</v>
      </c>
      <c r="I23" s="529">
        <f>SUM('ILMK_Ei.felhaszn.'!I28)</f>
        <v>0</v>
      </c>
      <c r="J23" s="529">
        <f>SUM('ILMK_Ei.felhaszn.'!J28)</f>
        <v>0</v>
      </c>
      <c r="K23" s="529">
        <f>SUM('ILMK_Ei.felhaszn.'!K28)</f>
        <v>0</v>
      </c>
      <c r="L23" s="529">
        <f>SUM('ILMK_Ei.felhaszn.'!L28)</f>
        <v>0</v>
      </c>
      <c r="M23" s="529">
        <v>0</v>
      </c>
      <c r="N23" s="529">
        <f>SUM('ILMK_Ei.felhaszn.'!N28)</f>
        <v>0</v>
      </c>
      <c r="O23" s="530">
        <f t="shared" si="3"/>
        <v>0</v>
      </c>
      <c r="P23" s="512">
        <f>SUM('ILMK_Ei.felhaszn.'!C28)</f>
        <v>0</v>
      </c>
    </row>
    <row r="24" spans="2:16" s="429" customFormat="1" ht="13.5" thickBot="1">
      <c r="B24" s="544" t="s">
        <v>280</v>
      </c>
      <c r="C24" s="555"/>
      <c r="D24" s="545">
        <f>SUM('ILMK_Ei.felhaszn.'!D29)</f>
        <v>0</v>
      </c>
      <c r="E24" s="529">
        <f>SUM('ILMK_Ei.felhaszn.'!E29)</f>
        <v>0</v>
      </c>
      <c r="F24" s="529">
        <f>SUM('ILMK_Ei.felhaszn.'!F29)</f>
        <v>0</v>
      </c>
      <c r="G24" s="529">
        <f>SUM('ILMK_Ei.felhaszn.'!G29)</f>
        <v>0</v>
      </c>
      <c r="H24" s="529">
        <f>SUM('ILMK_Ei.felhaszn.'!H29)</f>
        <v>0</v>
      </c>
      <c r="I24" s="529">
        <f>SUM('ILMK_Ei.felhaszn.'!I29)</f>
        <v>-213</v>
      </c>
      <c r="J24" s="529">
        <v>107</v>
      </c>
      <c r="K24" s="529">
        <v>108</v>
      </c>
      <c r="L24" s="529">
        <v>-2</v>
      </c>
      <c r="M24" s="529">
        <v>679</v>
      </c>
      <c r="N24" s="529">
        <v>-679</v>
      </c>
      <c r="O24" s="530">
        <f t="shared" si="3"/>
        <v>0</v>
      </c>
      <c r="P24" s="512">
        <f>SUM('ILMK_Ei.felhaszn.'!C29)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2724</v>
      </c>
      <c r="E25" s="539">
        <f t="shared" si="4"/>
        <v>2723</v>
      </c>
      <c r="F25" s="539">
        <f t="shared" si="4"/>
        <v>2724</v>
      </c>
      <c r="G25" s="539">
        <f t="shared" si="4"/>
        <v>2281</v>
      </c>
      <c r="H25" s="539">
        <f t="shared" si="4"/>
        <v>2281</v>
      </c>
      <c r="I25" s="539">
        <f t="shared" si="4"/>
        <v>2068</v>
      </c>
      <c r="J25" s="539">
        <f t="shared" si="4"/>
        <v>2405</v>
      </c>
      <c r="K25" s="539">
        <f t="shared" si="4"/>
        <v>2336</v>
      </c>
      <c r="L25" s="539">
        <f t="shared" si="4"/>
        <v>2867</v>
      </c>
      <c r="M25" s="539">
        <f t="shared" si="4"/>
        <v>4269</v>
      </c>
      <c r="N25" s="539">
        <f t="shared" si="4"/>
        <v>4888</v>
      </c>
      <c r="O25" s="539">
        <f t="shared" si="4"/>
        <v>16584</v>
      </c>
      <c r="P25" s="538">
        <f t="shared" si="4"/>
        <v>48150</v>
      </c>
      <c r="R25" s="430"/>
    </row>
    <row r="26" spans="2:17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294</v>
      </c>
      <c r="E26" s="551">
        <f t="shared" si="5"/>
        <v>267</v>
      </c>
      <c r="F26" s="551">
        <f t="shared" si="5"/>
        <v>238</v>
      </c>
      <c r="G26" s="551">
        <f t="shared" si="5"/>
        <v>183</v>
      </c>
      <c r="H26" s="551">
        <f t="shared" si="5"/>
        <v>973</v>
      </c>
      <c r="I26" s="551">
        <f t="shared" si="5"/>
        <v>2240</v>
      </c>
      <c r="J26" s="551">
        <f t="shared" si="5"/>
        <v>2125</v>
      </c>
      <c r="K26" s="551">
        <f t="shared" si="5"/>
        <v>2538</v>
      </c>
      <c r="L26" s="551">
        <f t="shared" si="5"/>
        <v>8543</v>
      </c>
      <c r="M26" s="551">
        <f t="shared" si="5"/>
        <v>5157</v>
      </c>
      <c r="N26" s="551">
        <f t="shared" si="5"/>
        <v>1247</v>
      </c>
      <c r="O26" s="552">
        <f t="shared" si="5"/>
        <v>0</v>
      </c>
      <c r="P26" s="561"/>
      <c r="Q26" s="430"/>
    </row>
    <row r="27" s="429" customFormat="1" ht="12.75">
      <c r="C27" s="482"/>
    </row>
    <row r="28" ht="26.25" customHeight="1">
      <c r="J28" s="63"/>
    </row>
    <row r="29" ht="12.75">
      <c r="J29" s="63"/>
    </row>
    <row r="30" ht="12.75">
      <c r="J30" s="63"/>
    </row>
    <row r="31" ht="12.75">
      <c r="J31" s="63"/>
    </row>
    <row r="32" spans="10:11" ht="12.75">
      <c r="J32" s="63"/>
      <c r="K32" s="63"/>
    </row>
    <row r="33" spans="10:11" ht="12.75">
      <c r="J33" s="63"/>
      <c r="K33" s="63"/>
    </row>
    <row r="34" spans="10:11" ht="12.75">
      <c r="J34" s="63"/>
      <c r="K34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3:J21"/>
  <sheetViews>
    <sheetView zoomScalePageLayoutView="0" workbookViewId="0" topLeftCell="A1">
      <selection activeCell="K20" sqref="K20"/>
    </sheetView>
  </sheetViews>
  <sheetFormatPr defaultColWidth="9.00390625" defaultRowHeight="12.75"/>
  <cols>
    <col min="2" max="2" width="57.875" style="0" bestFit="1" customWidth="1"/>
    <col min="3" max="6" width="10.625" style="0" customWidth="1"/>
    <col min="7" max="9" width="13.25390625" style="0" customWidth="1"/>
  </cols>
  <sheetData>
    <row r="3" spans="2:10" ht="43.5" customHeight="1">
      <c r="B3" s="776" t="s">
        <v>644</v>
      </c>
      <c r="C3" s="776"/>
      <c r="D3" s="776"/>
      <c r="E3" s="776"/>
      <c r="F3" s="776"/>
      <c r="G3" s="776"/>
      <c r="H3" s="776"/>
      <c r="I3" s="776"/>
      <c r="J3" s="594"/>
    </row>
    <row r="4" spans="7:9" ht="12.75">
      <c r="G4" s="18"/>
      <c r="I4" s="18"/>
    </row>
    <row r="5" spans="7:9" ht="12.75">
      <c r="G5" s="18"/>
      <c r="I5" s="136" t="s">
        <v>436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689</v>
      </c>
      <c r="C8" s="603">
        <v>4652</v>
      </c>
      <c r="D8" s="595">
        <v>1264</v>
      </c>
      <c r="E8" s="595">
        <v>7775</v>
      </c>
      <c r="F8" s="595">
        <v>0</v>
      </c>
      <c r="G8" s="596">
        <f>SUM(C8:F8)</f>
        <v>13691</v>
      </c>
      <c r="H8" s="612">
        <v>0</v>
      </c>
      <c r="I8" s="607">
        <f>SUM(G8:H8)</f>
        <v>13691</v>
      </c>
    </row>
    <row r="9" spans="2:9" ht="12.75">
      <c r="B9" s="55" t="s">
        <v>688</v>
      </c>
      <c r="C9" s="604">
        <v>954</v>
      </c>
      <c r="D9" s="56">
        <v>240</v>
      </c>
      <c r="E9" s="56">
        <v>1189</v>
      </c>
      <c r="F9" s="56">
        <v>0</v>
      </c>
      <c r="G9" s="54">
        <f aca="true" t="shared" si="0" ref="G9:G19">SUM(C9:F9)</f>
        <v>2383</v>
      </c>
      <c r="H9" s="613">
        <v>0</v>
      </c>
      <c r="I9" s="608">
        <f aca="true" t="shared" si="1" ref="I9:I19">SUM(G9:H9)</f>
        <v>2383</v>
      </c>
    </row>
    <row r="10" spans="2:9" ht="13.5" thickBot="1">
      <c r="B10" s="55" t="s">
        <v>690</v>
      </c>
      <c r="C10" s="604">
        <v>4547</v>
      </c>
      <c r="D10" s="56">
        <v>1239</v>
      </c>
      <c r="E10" s="56">
        <v>12080</v>
      </c>
      <c r="F10" s="56">
        <v>0</v>
      </c>
      <c r="G10" s="54">
        <f t="shared" si="0"/>
        <v>17866</v>
      </c>
      <c r="H10" s="613">
        <v>0</v>
      </c>
      <c r="I10" s="608">
        <f t="shared" si="1"/>
        <v>17866</v>
      </c>
    </row>
    <row r="11" spans="2:9" ht="15.75" thickBot="1">
      <c r="B11" s="627" t="s">
        <v>664</v>
      </c>
      <c r="C11" s="628">
        <f>SUM(C8:C10)</f>
        <v>10153</v>
      </c>
      <c r="D11" s="629">
        <f>SUM(D8:D10)</f>
        <v>2743</v>
      </c>
      <c r="E11" s="629">
        <f>SUM(E8:E10)</f>
        <v>21044</v>
      </c>
      <c r="F11" s="629">
        <f>SUM(F8:F10)</f>
        <v>0</v>
      </c>
      <c r="G11" s="630">
        <f t="shared" si="0"/>
        <v>33940</v>
      </c>
      <c r="H11" s="631">
        <f>SUM(H8:H10)</f>
        <v>0</v>
      </c>
      <c r="I11" s="632">
        <f t="shared" si="1"/>
        <v>33940</v>
      </c>
    </row>
    <row r="12" spans="2:9" ht="12.75">
      <c r="B12" s="55" t="s">
        <v>660</v>
      </c>
      <c r="C12" s="604">
        <v>0</v>
      </c>
      <c r="D12" s="56">
        <v>0</v>
      </c>
      <c r="E12" s="56">
        <v>2975</v>
      </c>
      <c r="F12" s="56">
        <v>0</v>
      </c>
      <c r="G12" s="54">
        <f>SUM(C12:F12)</f>
        <v>2975</v>
      </c>
      <c r="H12" s="613">
        <v>0</v>
      </c>
      <c r="I12" s="608">
        <f>SUM(G12:H12)</f>
        <v>2975</v>
      </c>
    </row>
    <row r="13" spans="2:9" ht="12.75">
      <c r="B13" s="55" t="s">
        <v>792</v>
      </c>
      <c r="C13" s="604">
        <v>0</v>
      </c>
      <c r="D13" s="56">
        <v>0</v>
      </c>
      <c r="E13" s="56">
        <v>661</v>
      </c>
      <c r="F13" s="56">
        <v>0</v>
      </c>
      <c r="G13" s="54">
        <f>SUM(C13:F13)</f>
        <v>661</v>
      </c>
      <c r="H13" s="613">
        <v>0</v>
      </c>
      <c r="I13" s="608">
        <f>SUM(G13:H13)</f>
        <v>661</v>
      </c>
    </row>
    <row r="14" spans="2:9" ht="13.5" thickBot="1">
      <c r="B14" s="55" t="s">
        <v>0</v>
      </c>
      <c r="C14" s="604">
        <v>4058</v>
      </c>
      <c r="D14" s="56">
        <v>1096</v>
      </c>
      <c r="E14" s="56">
        <v>3217</v>
      </c>
      <c r="F14" s="56">
        <v>0</v>
      </c>
      <c r="G14" s="54">
        <f>SUM(C14:F14)</f>
        <v>8371</v>
      </c>
      <c r="H14" s="613">
        <v>0</v>
      </c>
      <c r="I14" s="608">
        <f>SUM(G14:H14)</f>
        <v>8371</v>
      </c>
    </row>
    <row r="15" spans="2:9" s="571" customFormat="1" ht="13.5" thickBot="1">
      <c r="B15" s="673" t="s">
        <v>704</v>
      </c>
      <c r="C15" s="674">
        <f>SUM(C12:C14)</f>
        <v>4058</v>
      </c>
      <c r="D15" s="675">
        <f>SUM(D12:D14)</f>
        <v>1096</v>
      </c>
      <c r="E15" s="675">
        <f>SUM(E12:E14)</f>
        <v>6853</v>
      </c>
      <c r="F15" s="675">
        <f>SUM(F12:F14)</f>
        <v>0</v>
      </c>
      <c r="G15" s="676">
        <f>SUM(C15:F15)</f>
        <v>12007</v>
      </c>
      <c r="H15" s="677">
        <f>SUM(H14)</f>
        <v>0</v>
      </c>
      <c r="I15" s="678">
        <f>SUM(G15:H15)</f>
        <v>12007</v>
      </c>
    </row>
    <row r="16" spans="2:9" s="571" customFormat="1" ht="13.5" thickBot="1">
      <c r="B16" s="654" t="s">
        <v>691</v>
      </c>
      <c r="C16" s="655">
        <v>0</v>
      </c>
      <c r="D16" s="656">
        <v>0</v>
      </c>
      <c r="E16" s="656">
        <v>2203</v>
      </c>
      <c r="F16" s="656">
        <v>0</v>
      </c>
      <c r="G16" s="601">
        <f>SUM(C16:F16)</f>
        <v>2203</v>
      </c>
      <c r="H16" s="657">
        <v>0</v>
      </c>
      <c r="I16" s="611">
        <f>SUM(G16:H16)</f>
        <v>2203</v>
      </c>
    </row>
    <row r="17" spans="2:9" s="571" customFormat="1" ht="13.5" thickBot="1">
      <c r="B17" s="673" t="s">
        <v>707</v>
      </c>
      <c r="C17" s="674">
        <f aca="true" t="shared" si="2" ref="C17:H17">SUM(C16)</f>
        <v>0</v>
      </c>
      <c r="D17" s="675">
        <f t="shared" si="2"/>
        <v>0</v>
      </c>
      <c r="E17" s="675">
        <f t="shared" si="2"/>
        <v>2203</v>
      </c>
      <c r="F17" s="675">
        <f t="shared" si="2"/>
        <v>0</v>
      </c>
      <c r="G17" s="676">
        <f t="shared" si="2"/>
        <v>2203</v>
      </c>
      <c r="H17" s="677">
        <f t="shared" si="2"/>
        <v>0</v>
      </c>
      <c r="I17" s="678">
        <f>SUM(G16:H16)</f>
        <v>2203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63"/>
    </row>
  </sheetData>
  <sheetProtection/>
  <mergeCells count="1">
    <mergeCell ref="B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17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757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3" sqref="E33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758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625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0</v>
      </c>
    </row>
    <row r="8" spans="1:2" ht="18.75" customHeight="1">
      <c r="A8" s="53" t="s">
        <v>82</v>
      </c>
      <c r="B8" s="145">
        <f>SUM(B9:B14)</f>
        <v>0</v>
      </c>
    </row>
    <row r="9" spans="1:2" ht="18.75" customHeight="1">
      <c r="A9" s="55" t="s">
        <v>83</v>
      </c>
      <c r="B9" s="72">
        <f>SUM('ILMKInt.műk.bev.'!B8)</f>
        <v>0</v>
      </c>
    </row>
    <row r="10" spans="1:2" ht="18.75" customHeight="1">
      <c r="A10" s="55" t="s">
        <v>84</v>
      </c>
      <c r="B10" s="72">
        <v>0</v>
      </c>
    </row>
    <row r="11" spans="1:2" ht="18.75" customHeight="1">
      <c r="A11" s="55" t="s">
        <v>85</v>
      </c>
      <c r="B11" s="72">
        <v>0</v>
      </c>
    </row>
    <row r="12" spans="1:2" ht="18.75" customHeight="1">
      <c r="A12" s="55" t="s">
        <v>86</v>
      </c>
      <c r="B12" s="72">
        <v>0</v>
      </c>
    </row>
    <row r="13" spans="1:2" ht="18.75" customHeight="1">
      <c r="A13" s="55" t="s">
        <v>87</v>
      </c>
      <c r="B13" s="72">
        <f>SUM('ILMKInt.műk.bev.'!B26)</f>
        <v>0</v>
      </c>
    </row>
    <row r="14" spans="1:2" ht="18.75" customHeight="1">
      <c r="A14" s="55" t="s">
        <v>88</v>
      </c>
      <c r="B14" s="72">
        <v>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v>0</v>
      </c>
    </row>
    <row r="18" spans="1:2" s="67" customFormat="1" ht="18.75" customHeight="1">
      <c r="A18" s="65" t="s">
        <v>92</v>
      </c>
      <c r="B18" s="325">
        <f>SUM(B19+B20)</f>
        <v>0</v>
      </c>
    </row>
    <row r="19" spans="1:2" s="59" customFormat="1" ht="18.75" customHeight="1">
      <c r="A19" s="86" t="s">
        <v>93</v>
      </c>
      <c r="B19" s="323">
        <f>SUM('OVI_Tám. ért. bev.'!B6)</f>
        <v>0</v>
      </c>
    </row>
    <row r="20" spans="1:2" s="59" customFormat="1" ht="18.75" customHeight="1">
      <c r="A20" s="86" t="s">
        <v>94</v>
      </c>
      <c r="B20" s="323">
        <f>SUM('OVI_Tám. ért. bev.'!B9)</f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0</v>
      </c>
    </row>
    <row r="25" spans="1:2" s="67" customFormat="1" ht="32.25" customHeight="1">
      <c r="A25" s="70" t="s">
        <v>98</v>
      </c>
      <c r="B25" s="71">
        <f>SUM(B26+B29)</f>
        <v>0</v>
      </c>
    </row>
    <row r="26" spans="1:2" ht="18.75" customHeight="1">
      <c r="A26" s="55" t="s">
        <v>99</v>
      </c>
      <c r="B26" s="72">
        <f>SUM(B27+B28)</f>
        <v>0</v>
      </c>
    </row>
    <row r="27" spans="1:2" ht="18.75" customHeight="1">
      <c r="A27" s="55" t="s">
        <v>100</v>
      </c>
      <c r="B27" s="72">
        <v>0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0</v>
      </c>
    </row>
    <row r="32" spans="1:2" s="221" customFormat="1" ht="18.75" customHeight="1">
      <c r="A32" s="225" t="s">
        <v>282</v>
      </c>
      <c r="B32" s="226">
        <f>SUM(B33:B34)</f>
        <v>27005</v>
      </c>
    </row>
    <row r="33" spans="1:2" s="221" customFormat="1" ht="18.75" customHeight="1">
      <c r="A33" s="222" t="s">
        <v>283</v>
      </c>
      <c r="B33" s="741">
        <f>22795+4210</f>
        <v>27005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27005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76" bottom="0.3937007874015748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9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539</v>
      </c>
      <c r="B1" s="759"/>
    </row>
    <row r="2" ht="26.25" customHeight="1"/>
    <row r="3" spans="1:2" ht="12.75">
      <c r="A3" s="770" t="s">
        <v>165</v>
      </c>
      <c r="B3" s="770"/>
    </row>
    <row r="4" ht="22.5" customHeight="1" thickBot="1">
      <c r="B4" s="7" t="s">
        <v>40</v>
      </c>
    </row>
    <row r="5" spans="1:2" ht="26.25" thickBot="1">
      <c r="A5" s="416" t="s">
        <v>41</v>
      </c>
      <c r="B5" s="418" t="s">
        <v>528</v>
      </c>
    </row>
    <row r="6" spans="1:2" ht="24" customHeight="1">
      <c r="A6" s="216" t="s">
        <v>96</v>
      </c>
      <c r="B6" s="220">
        <f>SUM('ÖNK_Átvett pe.'!B6+'PH_Átvett pe.'!B6)</f>
        <v>31782</v>
      </c>
    </row>
    <row r="7" spans="1:2" ht="24" customHeight="1" thickBot="1">
      <c r="A7" s="156" t="s">
        <v>97</v>
      </c>
      <c r="B7" s="220">
        <v>354683</v>
      </c>
    </row>
    <row r="8" spans="1:2" ht="23.25" customHeight="1" thickBot="1">
      <c r="A8" s="68" t="s">
        <v>540</v>
      </c>
      <c r="B8" s="205">
        <f>SUM(B6+B7)</f>
        <v>386465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2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626</v>
      </c>
      <c r="B1" s="769"/>
    </row>
    <row r="2" ht="14.25" customHeight="1"/>
    <row r="3" spans="1:2" ht="12.75">
      <c r="A3" s="770" t="s">
        <v>627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166</v>
      </c>
      <c r="B6" s="142">
        <f>SUM(B7:B8)</f>
        <v>0</v>
      </c>
      <c r="E6" s="2"/>
      <c r="F6" s="27"/>
    </row>
    <row r="7" spans="1:6" ht="21.75" customHeight="1">
      <c r="A7" s="121" t="s">
        <v>167</v>
      </c>
      <c r="B7" s="72">
        <v>0</v>
      </c>
      <c r="E7" s="2"/>
      <c r="F7" s="27"/>
    </row>
    <row r="8" spans="1:6" ht="21.75" customHeight="1">
      <c r="A8" s="121" t="s">
        <v>168</v>
      </c>
      <c r="B8" s="72">
        <v>0</v>
      </c>
      <c r="E8" s="2"/>
      <c r="F8" s="27"/>
    </row>
    <row r="9" spans="1:6" ht="21.75" customHeight="1">
      <c r="A9" s="144" t="s">
        <v>169</v>
      </c>
      <c r="B9" s="145">
        <f>SUM(B10:B10)</f>
        <v>0</v>
      </c>
      <c r="E9" s="2"/>
      <c r="F9" s="27"/>
    </row>
    <row r="10" spans="1:6" ht="21.75" customHeight="1" thickBot="1">
      <c r="A10" s="121" t="s">
        <v>151</v>
      </c>
      <c r="B10" s="128">
        <v>0</v>
      </c>
      <c r="E10" s="2"/>
      <c r="F10" s="27"/>
    </row>
    <row r="11" spans="1:6" ht="21.75" customHeight="1" thickBot="1">
      <c r="A11" s="146" t="s">
        <v>171</v>
      </c>
      <c r="B11" s="147">
        <f>SUM(B6+B9)</f>
        <v>0</v>
      </c>
      <c r="E11" s="2"/>
      <c r="F11" s="27"/>
    </row>
    <row r="12" spans="5:6" ht="21.75" customHeight="1"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spans="4:6" ht="21.75" customHeight="1">
      <c r="D24" s="2">
        <f>57500*12</f>
        <v>690000</v>
      </c>
      <c r="F24" s="2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>
      <c r="D33" s="2">
        <v>1773000</v>
      </c>
    </row>
    <row r="34" ht="21.75" customHeight="1">
      <c r="D34" s="2">
        <v>3262176</v>
      </c>
    </row>
    <row r="35" ht="21.75" customHeight="1"/>
    <row r="36" spans="5:6" ht="21.75" customHeight="1">
      <c r="E36" s="143" t="s">
        <v>170</v>
      </c>
      <c r="F36" s="63" t="e">
        <f>SUM(#REF!)</f>
        <v>#REF!</v>
      </c>
    </row>
    <row r="37" ht="21.75" customHeight="1"/>
    <row r="38" ht="21.75" customHeight="1">
      <c r="D38" s="2">
        <f>620000+12846900+7315200</f>
        <v>20782100</v>
      </c>
    </row>
    <row r="39" ht="21.75" customHeight="1"/>
    <row r="4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B3" sqref="B3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759</v>
      </c>
      <c r="C2" s="854"/>
    </row>
    <row r="3" spans="2:3" ht="21.75" customHeight="1">
      <c r="B3" s="87"/>
      <c r="C3" s="88"/>
    </row>
    <row r="4" spans="2:3" ht="12.75">
      <c r="B4" s="770" t="s">
        <v>628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27005</v>
      </c>
      <c r="H7"/>
      <c r="I7"/>
      <c r="J7"/>
      <c r="K7"/>
    </row>
    <row r="8" spans="2:11" s="2" customFormat="1" ht="15">
      <c r="B8" s="94" t="s">
        <v>112</v>
      </c>
      <c r="C8" s="93">
        <f>SUM('OVI_működési kiadás'!D10)</f>
        <v>18431</v>
      </c>
      <c r="H8"/>
      <c r="I8"/>
      <c r="J8"/>
      <c r="K8"/>
    </row>
    <row r="9" spans="2:11" s="2" customFormat="1" ht="15">
      <c r="B9" s="94" t="s">
        <v>113</v>
      </c>
      <c r="C9" s="93">
        <f>SUM('OVI_működési kiadás'!E10)</f>
        <v>5115</v>
      </c>
      <c r="H9"/>
      <c r="I9"/>
      <c r="J9"/>
      <c r="K9"/>
    </row>
    <row r="10" spans="2:11" s="2" customFormat="1" ht="15">
      <c r="B10" s="94" t="s">
        <v>114</v>
      </c>
      <c r="C10" s="93">
        <f>SUM('OVI_működési kiadás'!F10)</f>
        <v>3459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0</v>
      </c>
      <c r="H14"/>
      <c r="I14"/>
      <c r="J14"/>
      <c r="K14"/>
    </row>
    <row r="15" spans="2:11" s="2" customFormat="1" ht="15">
      <c r="B15" s="94" t="s">
        <v>119</v>
      </c>
      <c r="C15" s="93">
        <v>0</v>
      </c>
      <c r="H15"/>
      <c r="I15"/>
      <c r="J15"/>
      <c r="K15"/>
    </row>
    <row r="16" spans="2:11" s="2" customFormat="1" ht="15">
      <c r="B16" s="94" t="s">
        <v>120</v>
      </c>
      <c r="C16" s="93"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27005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5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17" sqref="F17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760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755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761</v>
      </c>
      <c r="B8" s="104">
        <v>28</v>
      </c>
      <c r="C8" s="105">
        <f>SUM(D8:F8)</f>
        <v>27005</v>
      </c>
      <c r="D8" s="110">
        <f>15116+3315</f>
        <v>18431</v>
      </c>
      <c r="E8" s="110">
        <f>4439+895-219</f>
        <v>5115</v>
      </c>
      <c r="F8" s="110">
        <f>3240+219</f>
        <v>3459</v>
      </c>
      <c r="G8" s="1"/>
      <c r="H8" s="17"/>
      <c r="I8" s="17"/>
      <c r="J8" s="17"/>
    </row>
    <row r="9" spans="1:11" s="2" customFormat="1" ht="18.75" customHeight="1" thickBot="1">
      <c r="A9" s="23"/>
      <c r="B9" s="24"/>
      <c r="C9" s="19"/>
      <c r="D9" s="25"/>
      <c r="E9" s="25"/>
      <c r="F9" s="26"/>
      <c r="G9" s="1"/>
      <c r="K9"/>
    </row>
    <row r="10" spans="1:11" s="2" customFormat="1" ht="18.75" customHeight="1" thickBot="1">
      <c r="A10" s="81" t="s">
        <v>44</v>
      </c>
      <c r="B10" s="108">
        <f>SUM(B8:B9)</f>
        <v>28</v>
      </c>
      <c r="C10" s="109">
        <f>SUM(C8:C9)</f>
        <v>27005</v>
      </c>
      <c r="D10" s="109">
        <f>SUM(D8:D9)</f>
        <v>18431</v>
      </c>
      <c r="E10" s="109">
        <f>SUM(E8:E9)</f>
        <v>5115</v>
      </c>
      <c r="F10" s="75">
        <f>SUM(F8:F9)</f>
        <v>3459</v>
      </c>
      <c r="G10" s="1"/>
      <c r="K10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H25" sqref="H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SUM('OVI_Összes bevétel'!B17)</f>
        <v>0</v>
      </c>
      <c r="E4" s="119" t="s">
        <v>119</v>
      </c>
      <c r="F4" s="120">
        <f>SUM('OVI_Összes kiadás'!C15)</f>
        <v>0</v>
      </c>
    </row>
    <row r="5" spans="2:11" ht="15" customHeight="1">
      <c r="B5" s="86" t="s">
        <v>94</v>
      </c>
      <c r="C5" s="72">
        <f>SUM('OVI_Összes bevétel'!B20)</f>
        <v>0</v>
      </c>
      <c r="E5" s="121" t="s">
        <v>120</v>
      </c>
      <c r="F5" s="72">
        <f>SUM('OVI_Összes kiadás'!C16)</f>
        <v>0</v>
      </c>
      <c r="K5" s="63"/>
    </row>
    <row r="6" spans="2:6" ht="15" customHeight="1">
      <c r="B6" s="86" t="s">
        <v>127</v>
      </c>
      <c r="C6" s="72">
        <f>SUM('OVI_Összes bevétel'!B23)</f>
        <v>0</v>
      </c>
      <c r="E6" s="121" t="s">
        <v>121</v>
      </c>
      <c r="F6" s="72">
        <f>SUM('OVI_Összes kiadás'!C17)</f>
        <v>0</v>
      </c>
    </row>
    <row r="7" spans="2:6" ht="15" customHeight="1">
      <c r="B7" s="55" t="s">
        <v>128</v>
      </c>
      <c r="C7" s="72">
        <f>SUM('OVI_Összes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SUM('OVI_Összes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SUM('OVI_Összes bevétel'!B8)</f>
        <v>0</v>
      </c>
      <c r="E12" s="117" t="s">
        <v>112</v>
      </c>
      <c r="F12" s="118">
        <f>SUM('OVI_Összes kiadás'!C8)</f>
        <v>18431</v>
      </c>
      <c r="K12" s="63"/>
    </row>
    <row r="13" spans="2:6" ht="15" customHeight="1">
      <c r="B13" s="86" t="s">
        <v>93</v>
      </c>
      <c r="C13" s="72">
        <f>SUM('OVI_Összes bevétel'!B19)</f>
        <v>0</v>
      </c>
      <c r="E13" s="121" t="s">
        <v>113</v>
      </c>
      <c r="F13" s="72">
        <f>SUM('OVI_Összes kiadás'!C9)</f>
        <v>5115</v>
      </c>
    </row>
    <row r="14" spans="2:8" ht="15" customHeight="1">
      <c r="B14" s="86" t="s">
        <v>96</v>
      </c>
      <c r="C14" s="72">
        <f>SUM('OVI_Összes bevétel'!B22)</f>
        <v>0</v>
      </c>
      <c r="E14" s="121" t="s">
        <v>114</v>
      </c>
      <c r="F14" s="72">
        <f>SUM('OVI_Összes kiadás'!C10)</f>
        <v>3459</v>
      </c>
      <c r="H14" s="27"/>
    </row>
    <row r="15" spans="2:6" ht="15" customHeight="1">
      <c r="B15" s="55" t="s">
        <v>131</v>
      </c>
      <c r="C15" s="72">
        <f>SUM('OVI_Összes bevétel'!B27)</f>
        <v>0</v>
      </c>
      <c r="E15" s="121" t="s">
        <v>115</v>
      </c>
      <c r="F15" s="72">
        <f>SUM('OVI_Összes kiadás'!C11)</f>
        <v>0</v>
      </c>
    </row>
    <row r="16" spans="1:9" s="18" customFormat="1" ht="15" customHeight="1">
      <c r="A16" s="17"/>
      <c r="B16" s="121" t="s">
        <v>277</v>
      </c>
      <c r="C16" s="72">
        <f>SUM('OVI_Összes bevétel'!B30)</f>
        <v>0</v>
      </c>
      <c r="D16" s="17"/>
      <c r="E16" s="122" t="s">
        <v>280</v>
      </c>
      <c r="F16" s="73">
        <f>SUM('OVI_Összes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SUM('OVI_Összes bevétel'!B33)</f>
        <v>27005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27005</v>
      </c>
      <c r="E19" s="115" t="s">
        <v>80</v>
      </c>
      <c r="F19" s="125">
        <f>SUM(F12:F18)</f>
        <v>27005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27005</v>
      </c>
      <c r="E21" s="115" t="s">
        <v>130</v>
      </c>
      <c r="F21" s="125">
        <f>+F9+F19</f>
        <v>27005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3" bottom="0.68" header="0.56" footer="0.5118110236220472"/>
  <pageSetup horizontalDpi="600" verticalDpi="600" orientation="landscape" paperSize="9" scale="91" r:id="rId1"/>
  <headerFooter alignWithMargins="0">
    <oddHeader>&amp;C&amp;"Arial CE,Félkövér"&amp;14 Ibrány Városi Óvoda
 2013. évi felhalmozási és működési mérlege&amp;R77. melléklet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zoomScalePageLayoutView="0" workbookViewId="0" topLeftCell="C10">
      <selection activeCell="N35" sqref="N35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762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629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</row>
    <row r="8" spans="2:16" s="429" customFormat="1" ht="12.75">
      <c r="B8" s="522" t="s">
        <v>81</v>
      </c>
      <c r="C8" s="523">
        <f>SUM('OVI_Összes bevétel'!B7)</f>
        <v>0</v>
      </c>
      <c r="D8" s="724">
        <v>0</v>
      </c>
      <c r="E8" s="720">
        <v>0</v>
      </c>
      <c r="F8" s="720">
        <v>0</v>
      </c>
      <c r="G8" s="720">
        <v>0</v>
      </c>
      <c r="H8" s="720">
        <v>0</v>
      </c>
      <c r="I8" s="720">
        <v>0</v>
      </c>
      <c r="J8" s="720">
        <v>0</v>
      </c>
      <c r="K8" s="720">
        <v>0</v>
      </c>
      <c r="L8" s="525">
        <v>0</v>
      </c>
      <c r="M8" s="525">
        <v>0</v>
      </c>
      <c r="N8" s="525">
        <v>0</v>
      </c>
      <c r="O8" s="526">
        <f aca="true" t="shared" si="0" ref="O8:O15">+C8-D8-E8-F8-G8-H8-I8-J8-K8-L8-M8-N8</f>
        <v>0</v>
      </c>
      <c r="P8" s="521"/>
    </row>
    <row r="9" spans="2:16" s="429" customFormat="1" ht="12.75">
      <c r="B9" s="527" t="s">
        <v>89</v>
      </c>
      <c r="C9" s="512">
        <f>SUM('OVI_Összes bevétel'!B15)</f>
        <v>0</v>
      </c>
      <c r="D9" s="725">
        <v>0</v>
      </c>
      <c r="E9" s="722">
        <v>0</v>
      </c>
      <c r="F9" s="722">
        <v>0</v>
      </c>
      <c r="G9" s="722">
        <v>0</v>
      </c>
      <c r="H9" s="722">
        <v>0</v>
      </c>
      <c r="I9" s="722">
        <v>0</v>
      </c>
      <c r="J9" s="722">
        <v>0</v>
      </c>
      <c r="K9" s="722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</row>
    <row r="10" spans="2:16" s="429" customFormat="1" ht="12.75">
      <c r="B10" s="527" t="s">
        <v>90</v>
      </c>
      <c r="C10" s="512">
        <f>SUM('OVI_Összes bevétel'!B16)</f>
        <v>0</v>
      </c>
      <c r="D10" s="725">
        <v>0</v>
      </c>
      <c r="E10" s="722">
        <v>0</v>
      </c>
      <c r="F10" s="722">
        <v>0</v>
      </c>
      <c r="G10" s="722">
        <v>0</v>
      </c>
      <c r="H10" s="722">
        <v>0</v>
      </c>
      <c r="I10" s="722">
        <v>0</v>
      </c>
      <c r="J10" s="722">
        <v>0</v>
      </c>
      <c r="K10" s="722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</row>
    <row r="11" spans="2:16" s="429" customFormat="1" ht="12.75">
      <c r="B11" s="527" t="s">
        <v>92</v>
      </c>
      <c r="C11" s="512">
        <f>SUM('OVI_Összes bevétel'!B18)</f>
        <v>0</v>
      </c>
      <c r="D11" s="725">
        <v>0</v>
      </c>
      <c r="E11" s="722">
        <v>0</v>
      </c>
      <c r="F11" s="722">
        <v>0</v>
      </c>
      <c r="G11" s="722">
        <v>0</v>
      </c>
      <c r="H11" s="722">
        <v>0</v>
      </c>
      <c r="I11" s="722">
        <v>0</v>
      </c>
      <c r="J11" s="722">
        <v>0</v>
      </c>
      <c r="K11" s="722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</row>
    <row r="12" spans="2:16" s="429" customFormat="1" ht="12.75">
      <c r="B12" s="527" t="s">
        <v>95</v>
      </c>
      <c r="C12" s="512">
        <f>SUM('OVI_Összes bevétel'!B21)</f>
        <v>0</v>
      </c>
      <c r="D12" s="725">
        <v>0</v>
      </c>
      <c r="E12" s="722">
        <v>0</v>
      </c>
      <c r="F12" s="722">
        <v>0</v>
      </c>
      <c r="G12" s="722">
        <v>0</v>
      </c>
      <c r="H12" s="722">
        <v>0</v>
      </c>
      <c r="I12" s="722">
        <v>0</v>
      </c>
      <c r="J12" s="722">
        <v>0</v>
      </c>
      <c r="K12" s="722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  <c r="P12" s="521"/>
    </row>
    <row r="13" spans="2:16" s="429" customFormat="1" ht="25.5">
      <c r="B13" s="531" t="s">
        <v>146</v>
      </c>
      <c r="C13" s="512">
        <f>SUM('OVI_Összes bevétel'!B25)</f>
        <v>0</v>
      </c>
      <c r="D13" s="725">
        <v>0</v>
      </c>
      <c r="E13" s="722">
        <v>0</v>
      </c>
      <c r="F13" s="722">
        <v>0</v>
      </c>
      <c r="G13" s="722">
        <v>0</v>
      </c>
      <c r="H13" s="722">
        <v>0</v>
      </c>
      <c r="I13" s="722">
        <v>0</v>
      </c>
      <c r="J13" s="722">
        <v>0</v>
      </c>
      <c r="K13" s="722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</row>
    <row r="14" spans="2:16" s="429" customFormat="1" ht="12.75">
      <c r="B14" s="527" t="s">
        <v>277</v>
      </c>
      <c r="C14" s="512">
        <f>SUM('OVI_Összes bevétel'!B30)</f>
        <v>0</v>
      </c>
      <c r="D14" s="725">
        <v>0</v>
      </c>
      <c r="E14" s="722">
        <v>0</v>
      </c>
      <c r="F14" s="722">
        <v>0</v>
      </c>
      <c r="G14" s="722">
        <v>0</v>
      </c>
      <c r="H14" s="722">
        <v>0</v>
      </c>
      <c r="I14" s="722">
        <v>0</v>
      </c>
      <c r="J14" s="722">
        <v>0</v>
      </c>
      <c r="K14" s="722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</row>
    <row r="15" spans="2:16" s="478" customFormat="1" ht="13.5" thickBot="1">
      <c r="B15" s="532" t="s">
        <v>282</v>
      </c>
      <c r="C15" s="533">
        <f>SUM('OVI_Összes bevétel'!B32)</f>
        <v>27005</v>
      </c>
      <c r="D15" s="726">
        <f>SUM(D30-D11)</f>
        <v>0</v>
      </c>
      <c r="E15" s="726">
        <f aca="true" t="shared" si="1" ref="E15:N15">SUM(E30-E11)</f>
        <v>0</v>
      </c>
      <c r="F15" s="726">
        <f t="shared" si="1"/>
        <v>0</v>
      </c>
      <c r="G15" s="726">
        <f>SUM(G30-G11-G13)</f>
        <v>0</v>
      </c>
      <c r="H15" s="726">
        <f t="shared" si="1"/>
        <v>0</v>
      </c>
      <c r="I15" s="726">
        <f t="shared" si="1"/>
        <v>0</v>
      </c>
      <c r="J15" s="726">
        <f t="shared" si="1"/>
        <v>0</v>
      </c>
      <c r="K15" s="726">
        <f t="shared" si="1"/>
        <v>0</v>
      </c>
      <c r="L15" s="534">
        <f t="shared" si="1"/>
        <v>148</v>
      </c>
      <c r="M15" s="534">
        <f t="shared" si="1"/>
        <v>7550</v>
      </c>
      <c r="N15" s="534">
        <f t="shared" si="1"/>
        <v>7547</v>
      </c>
      <c r="O15" s="535">
        <f t="shared" si="0"/>
        <v>11760</v>
      </c>
      <c r="P15" s="536"/>
    </row>
    <row r="16" spans="2:16" s="429" customFormat="1" ht="13.5" thickBot="1">
      <c r="B16" s="537" t="s">
        <v>147</v>
      </c>
      <c r="C16" s="538">
        <f aca="true" t="shared" si="2" ref="C16:O16">SUM(C8:C15)</f>
        <v>27005</v>
      </c>
      <c r="D16" s="723">
        <f t="shared" si="2"/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148</v>
      </c>
      <c r="M16" s="539">
        <f t="shared" si="2"/>
        <v>7550</v>
      </c>
      <c r="N16" s="539">
        <f t="shared" si="2"/>
        <v>7547</v>
      </c>
      <c r="O16" s="539">
        <f t="shared" si="2"/>
        <v>11760</v>
      </c>
      <c r="P16" s="521"/>
    </row>
    <row r="17" spans="2:16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</row>
    <row r="18" spans="2:16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</row>
    <row r="19" spans="2:16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</row>
    <row r="20" spans="2:16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</row>
    <row r="22" spans="2:16" s="429" customFormat="1" ht="12.75">
      <c r="B22" s="542" t="s">
        <v>112</v>
      </c>
      <c r="C22" s="523">
        <f>SUM('OVI_Összes kiadás'!C8)</f>
        <v>18431</v>
      </c>
      <c r="D22" s="719">
        <v>0</v>
      </c>
      <c r="E22" s="720">
        <v>0</v>
      </c>
      <c r="F22" s="720">
        <v>0</v>
      </c>
      <c r="G22" s="720">
        <v>0</v>
      </c>
      <c r="H22" s="720">
        <v>0</v>
      </c>
      <c r="I22" s="720">
        <v>0</v>
      </c>
      <c r="J22" s="720">
        <v>0</v>
      </c>
      <c r="K22" s="720">
        <v>0</v>
      </c>
      <c r="L22" s="525">
        <v>0</v>
      </c>
      <c r="M22" s="525">
        <v>5039</v>
      </c>
      <c r="N22" s="525">
        <v>5038</v>
      </c>
      <c r="O22" s="526">
        <f aca="true" t="shared" si="3" ref="O22:O30">+C22-D22-E22-F22-G22-H22-I22-J22-K22-L22-M22-N22</f>
        <v>8354</v>
      </c>
      <c r="P22" s="521"/>
    </row>
    <row r="23" spans="2:16" s="429" customFormat="1" ht="12.75">
      <c r="B23" s="544" t="s">
        <v>113</v>
      </c>
      <c r="C23" s="512">
        <f>SUM('OVI_Összes kiadás'!C9)</f>
        <v>5115</v>
      </c>
      <c r="D23" s="721">
        <v>0</v>
      </c>
      <c r="E23" s="722">
        <v>0</v>
      </c>
      <c r="F23" s="722">
        <v>0</v>
      </c>
      <c r="G23" s="722">
        <v>0</v>
      </c>
      <c r="H23" s="722">
        <v>0</v>
      </c>
      <c r="I23" s="722">
        <v>0</v>
      </c>
      <c r="J23" s="722">
        <v>0</v>
      </c>
      <c r="K23" s="722">
        <v>0</v>
      </c>
      <c r="L23" s="529">
        <v>0</v>
      </c>
      <c r="M23" s="529">
        <v>1480</v>
      </c>
      <c r="N23" s="529">
        <v>1479</v>
      </c>
      <c r="O23" s="530">
        <f t="shared" si="3"/>
        <v>2156</v>
      </c>
      <c r="P23" s="521"/>
    </row>
    <row r="24" spans="2:16" s="429" customFormat="1" ht="12.75">
      <c r="B24" s="544" t="s">
        <v>114</v>
      </c>
      <c r="C24" s="512">
        <f>SUM('OVI_Összes kiadás'!C10)</f>
        <v>3459</v>
      </c>
      <c r="D24" s="721">
        <v>0</v>
      </c>
      <c r="E24" s="722">
        <v>0</v>
      </c>
      <c r="F24" s="722">
        <v>0</v>
      </c>
      <c r="G24" s="722">
        <v>0</v>
      </c>
      <c r="H24" s="722">
        <v>0</v>
      </c>
      <c r="I24" s="722">
        <v>0</v>
      </c>
      <c r="J24" s="722">
        <v>0</v>
      </c>
      <c r="K24" s="722">
        <v>0</v>
      </c>
      <c r="L24" s="529">
        <v>148</v>
      </c>
      <c r="M24" s="529">
        <v>1031</v>
      </c>
      <c r="N24" s="529">
        <v>1030</v>
      </c>
      <c r="O24" s="530">
        <f t="shared" si="3"/>
        <v>1250</v>
      </c>
      <c r="P24" s="521"/>
    </row>
    <row r="25" spans="2:16" s="429" customFormat="1" ht="12.75">
      <c r="B25" s="546" t="s">
        <v>115</v>
      </c>
      <c r="C25" s="512">
        <f>SUM('OVI_Összes kiadás'!C11)</f>
        <v>0</v>
      </c>
      <c r="D25" s="721">
        <v>0</v>
      </c>
      <c r="E25" s="722">
        <v>0</v>
      </c>
      <c r="F25" s="722">
        <v>0</v>
      </c>
      <c r="G25" s="722">
        <v>0</v>
      </c>
      <c r="H25" s="722">
        <v>0</v>
      </c>
      <c r="I25" s="722">
        <v>0</v>
      </c>
      <c r="J25" s="722">
        <v>0</v>
      </c>
      <c r="K25" s="722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  <c r="P25" s="521"/>
    </row>
    <row r="26" spans="2:16" s="429" customFormat="1" ht="12.75">
      <c r="B26" s="544" t="s">
        <v>119</v>
      </c>
      <c r="C26" s="512">
        <f>SUM('OVI_Összes kiadás'!C12)</f>
        <v>0</v>
      </c>
      <c r="D26" s="721">
        <v>0</v>
      </c>
      <c r="E26" s="722">
        <v>0</v>
      </c>
      <c r="F26" s="722">
        <v>0</v>
      </c>
      <c r="G26" s="722">
        <v>0</v>
      </c>
      <c r="H26" s="722">
        <v>0</v>
      </c>
      <c r="I26" s="722">
        <v>0</v>
      </c>
      <c r="J26" s="722">
        <v>0</v>
      </c>
      <c r="K26" s="722">
        <v>0</v>
      </c>
      <c r="L26" s="529">
        <v>0</v>
      </c>
      <c r="M26" s="529">
        <v>0</v>
      </c>
      <c r="N26" s="529">
        <v>0</v>
      </c>
      <c r="O26" s="530">
        <f t="shared" si="3"/>
        <v>0</v>
      </c>
      <c r="P26" s="521"/>
    </row>
    <row r="27" spans="2:16" s="429" customFormat="1" ht="12.75">
      <c r="B27" s="544" t="s">
        <v>120</v>
      </c>
      <c r="C27" s="512">
        <f>SUM('OVI_Összes kiadás'!C13)</f>
        <v>0</v>
      </c>
      <c r="D27" s="721">
        <v>0</v>
      </c>
      <c r="E27" s="722">
        <v>0</v>
      </c>
      <c r="F27" s="722">
        <v>0</v>
      </c>
      <c r="G27" s="722">
        <v>0</v>
      </c>
      <c r="H27" s="722">
        <v>0</v>
      </c>
      <c r="I27" s="722">
        <v>0</v>
      </c>
      <c r="J27" s="722">
        <v>0</v>
      </c>
      <c r="K27" s="722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  <c r="P27" s="521"/>
    </row>
    <row r="28" spans="2:16" s="429" customFormat="1" ht="12.75">
      <c r="B28" s="544" t="s">
        <v>121</v>
      </c>
      <c r="C28" s="512">
        <f>SUM('OVI_Összes kiadás'!C14)</f>
        <v>0</v>
      </c>
      <c r="D28" s="721">
        <v>0</v>
      </c>
      <c r="E28" s="722">
        <v>0</v>
      </c>
      <c r="F28" s="722">
        <v>0</v>
      </c>
      <c r="G28" s="722">
        <v>0</v>
      </c>
      <c r="H28" s="722">
        <v>0</v>
      </c>
      <c r="I28" s="722">
        <v>0</v>
      </c>
      <c r="J28" s="722">
        <v>0</v>
      </c>
      <c r="K28" s="722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  <c r="P28" s="521"/>
    </row>
    <row r="29" spans="2:16" s="429" customFormat="1" ht="13.5" thickBot="1">
      <c r="B29" s="544" t="s">
        <v>280</v>
      </c>
      <c r="C29" s="512">
        <f>SUM('OVI_Összes kiadás'!C15)</f>
        <v>0</v>
      </c>
      <c r="D29" s="721">
        <v>0</v>
      </c>
      <c r="E29" s="722">
        <v>0</v>
      </c>
      <c r="F29" s="722">
        <v>0</v>
      </c>
      <c r="G29" s="722">
        <v>0</v>
      </c>
      <c r="H29" s="722">
        <v>0</v>
      </c>
      <c r="I29" s="722">
        <v>0</v>
      </c>
      <c r="J29" s="722">
        <v>0</v>
      </c>
      <c r="K29" s="722">
        <v>0</v>
      </c>
      <c r="L29" s="529">
        <v>0</v>
      </c>
      <c r="M29" s="529">
        <v>0</v>
      </c>
      <c r="N29" s="529">
        <v>0</v>
      </c>
      <c r="O29" s="530">
        <f t="shared" si="3"/>
        <v>0</v>
      </c>
      <c r="P29" s="521"/>
    </row>
    <row r="30" spans="2:16" s="429" customFormat="1" ht="13.5" thickBot="1">
      <c r="B30" s="537" t="s">
        <v>148</v>
      </c>
      <c r="C30" s="538">
        <f aca="true" t="shared" si="4" ref="C30:N30">SUM(C22:C29)</f>
        <v>27005</v>
      </c>
      <c r="D30" s="723">
        <f t="shared" si="4"/>
        <v>0</v>
      </c>
      <c r="E30" s="723">
        <f t="shared" si="4"/>
        <v>0</v>
      </c>
      <c r="F30" s="723">
        <f t="shared" si="4"/>
        <v>0</v>
      </c>
      <c r="G30" s="723">
        <f t="shared" si="4"/>
        <v>0</v>
      </c>
      <c r="H30" s="723">
        <f t="shared" si="4"/>
        <v>0</v>
      </c>
      <c r="I30" s="723">
        <f t="shared" si="4"/>
        <v>0</v>
      </c>
      <c r="J30" s="723">
        <f t="shared" si="4"/>
        <v>0</v>
      </c>
      <c r="K30" s="723">
        <f t="shared" si="4"/>
        <v>0</v>
      </c>
      <c r="L30" s="539">
        <f t="shared" si="4"/>
        <v>148</v>
      </c>
      <c r="M30" s="539">
        <f t="shared" si="4"/>
        <v>7550</v>
      </c>
      <c r="N30" s="539">
        <f t="shared" si="4"/>
        <v>7547</v>
      </c>
      <c r="O30" s="539">
        <f t="shared" si="3"/>
        <v>11760</v>
      </c>
      <c r="P30" s="521"/>
    </row>
    <row r="31" spans="2:16" s="429" customFormat="1" ht="12.75">
      <c r="B31" s="521"/>
      <c r="C31" s="540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zoomScalePageLayoutView="0" workbookViewId="0" topLeftCell="C4">
      <selection activeCell="P28" sqref="P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9" width="11.75390625" style="0" customWidth="1"/>
    <col min="10" max="10" width="11.75390625" style="697" customWidth="1"/>
    <col min="11" max="15" width="11.75390625" style="0" customWidth="1"/>
  </cols>
  <sheetData>
    <row r="2" spans="2:15" ht="18">
      <c r="B2" s="774" t="s">
        <v>763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702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703"/>
      <c r="K4" s="134"/>
      <c r="L4" s="134"/>
      <c r="M4" s="134"/>
      <c r="O4" s="766" t="s">
        <v>630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703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0</v>
      </c>
      <c r="E8" s="550">
        <f aca="true" t="shared" si="0" ref="E8:O8">SUM(D26)</f>
        <v>0</v>
      </c>
      <c r="F8" s="551">
        <f t="shared" si="0"/>
        <v>0</v>
      </c>
      <c r="G8" s="551">
        <f t="shared" si="0"/>
        <v>0</v>
      </c>
      <c r="H8" s="551">
        <f t="shared" si="0"/>
        <v>0</v>
      </c>
      <c r="I8" s="551">
        <f t="shared" si="0"/>
        <v>0</v>
      </c>
      <c r="J8" s="551">
        <f t="shared" si="0"/>
        <v>0</v>
      </c>
      <c r="K8" s="551">
        <f t="shared" si="0"/>
        <v>0</v>
      </c>
      <c r="L8" s="551">
        <f t="shared" si="0"/>
        <v>0</v>
      </c>
      <c r="M8" s="551">
        <f t="shared" si="0"/>
        <v>2</v>
      </c>
      <c r="N8" s="551">
        <f t="shared" si="0"/>
        <v>25</v>
      </c>
      <c r="O8" s="552">
        <f t="shared" si="0"/>
        <v>22</v>
      </c>
      <c r="P8" s="553"/>
    </row>
    <row r="9" spans="2:16" s="429" customFormat="1" ht="12.75">
      <c r="B9" s="522" t="s">
        <v>81</v>
      </c>
      <c r="C9" s="554"/>
      <c r="D9" s="724">
        <f>SUM('OVI_Ei.felhaszn.'!D8)</f>
        <v>0</v>
      </c>
      <c r="E9" s="720">
        <f>SUM('OVI_Ei.felhaszn.'!E8)</f>
        <v>0</v>
      </c>
      <c r="F9" s="720">
        <f>SUM('OVI_Ei.felhaszn.'!F8)</f>
        <v>0</v>
      </c>
      <c r="G9" s="720">
        <f>SUM('OVI_Ei.felhaszn.'!G8)</f>
        <v>0</v>
      </c>
      <c r="H9" s="720">
        <f>SUM('OVI_Ei.felhaszn.'!H8)</f>
        <v>0</v>
      </c>
      <c r="I9" s="720">
        <f>SUM('OVI_Ei.felhaszn.'!I8)</f>
        <v>0</v>
      </c>
      <c r="J9" s="720">
        <f>SUM('OVI_Ei.felhaszn.'!J8)</f>
        <v>0</v>
      </c>
      <c r="K9" s="720">
        <f>SUM('OVI_Ei.felhaszn.'!K8)</f>
        <v>0</v>
      </c>
      <c r="L9" s="525">
        <f>SUM('OVI_Ei.felhaszn.'!L8)</f>
        <v>0</v>
      </c>
      <c r="M9" s="525">
        <f>SUM('OVI_Ei.felhaszn.'!M8)</f>
        <v>0</v>
      </c>
      <c r="N9" s="525">
        <f>SUM('OVI_Ei.felhaszn.'!N8)</f>
        <v>0</v>
      </c>
      <c r="O9" s="526">
        <f aca="true" t="shared" si="1" ref="O9:O14">+P9-D9-E9-F9-G9-H9-I9-J9-K9-L9-M9-N9</f>
        <v>0</v>
      </c>
      <c r="P9" s="523">
        <f>SUM('OVI_Ei.felhaszn.'!C8)</f>
        <v>0</v>
      </c>
    </row>
    <row r="10" spans="2:16" s="429" customFormat="1" ht="12.75">
      <c r="B10" s="527" t="s">
        <v>89</v>
      </c>
      <c r="C10" s="555"/>
      <c r="D10" s="725">
        <f>SUM('OVI_Ei.felhaszn.'!D9)</f>
        <v>0</v>
      </c>
      <c r="E10" s="722">
        <f>SUM('OVI_Ei.felhaszn.'!E9)</f>
        <v>0</v>
      </c>
      <c r="F10" s="722">
        <f>SUM('OVI_Ei.felhaszn.'!F9)</f>
        <v>0</v>
      </c>
      <c r="G10" s="722">
        <f>SUM('OVI_Ei.felhaszn.'!G9)</f>
        <v>0</v>
      </c>
      <c r="H10" s="722">
        <f>SUM('OVI_Ei.felhaszn.'!H9)</f>
        <v>0</v>
      </c>
      <c r="I10" s="722">
        <f>SUM('OVI_Ei.felhaszn.'!I9)</f>
        <v>0</v>
      </c>
      <c r="J10" s="722">
        <f>SUM('OVI_Ei.felhaszn.'!J9)</f>
        <v>0</v>
      </c>
      <c r="K10" s="722">
        <f>SUM('OVI_Ei.felhaszn.'!K9)</f>
        <v>0</v>
      </c>
      <c r="L10" s="529">
        <f>SUM('OVI_Ei.felhaszn.'!L9)</f>
        <v>0</v>
      </c>
      <c r="M10" s="529">
        <f>SUM('OVI_Ei.felhaszn.'!M9)</f>
        <v>0</v>
      </c>
      <c r="N10" s="529">
        <f>SUM('OVI_Ei.felhaszn.'!N9)</f>
        <v>0</v>
      </c>
      <c r="O10" s="530">
        <f t="shared" si="1"/>
        <v>0</v>
      </c>
      <c r="P10" s="512">
        <f>SUM('OVI_Ei.felhaszn.'!C9)</f>
        <v>0</v>
      </c>
    </row>
    <row r="11" spans="2:16" s="429" customFormat="1" ht="12.75">
      <c r="B11" s="527" t="s">
        <v>90</v>
      </c>
      <c r="C11" s="555"/>
      <c r="D11" s="725">
        <f>SUM('OVI_Ei.felhaszn.'!D10)</f>
        <v>0</v>
      </c>
      <c r="E11" s="722">
        <f>SUM('OVI_Ei.felhaszn.'!E10)</f>
        <v>0</v>
      </c>
      <c r="F11" s="722">
        <f>SUM('OVI_Ei.felhaszn.'!F10)</f>
        <v>0</v>
      </c>
      <c r="G11" s="722">
        <f>SUM('OVI_Ei.felhaszn.'!G10)</f>
        <v>0</v>
      </c>
      <c r="H11" s="722">
        <f>SUM('OVI_Ei.felhaszn.'!H10)</f>
        <v>0</v>
      </c>
      <c r="I11" s="722">
        <f>SUM('OVI_Ei.felhaszn.'!I10)</f>
        <v>0</v>
      </c>
      <c r="J11" s="722">
        <f>SUM('OVI_Ei.felhaszn.'!J10)</f>
        <v>0</v>
      </c>
      <c r="K11" s="722">
        <f>SUM('OVI_Ei.felhaszn.'!K10)</f>
        <v>0</v>
      </c>
      <c r="L11" s="529">
        <f>SUM('OVI_Ei.felhaszn.'!L10)</f>
        <v>0</v>
      </c>
      <c r="M11" s="529">
        <f>SUM('OVI_Ei.felhaszn.'!M10)</f>
        <v>0</v>
      </c>
      <c r="N11" s="529">
        <f>SUM('OVI_Ei.felhaszn.'!N10)</f>
        <v>0</v>
      </c>
      <c r="O11" s="530">
        <f t="shared" si="1"/>
        <v>0</v>
      </c>
      <c r="P11" s="512">
        <f>SUM('OVI_Ei.felhaszn.'!C10)</f>
        <v>0</v>
      </c>
    </row>
    <row r="12" spans="2:16" s="429" customFormat="1" ht="12.75">
      <c r="B12" s="527" t="s">
        <v>92</v>
      </c>
      <c r="C12" s="555"/>
      <c r="D12" s="725">
        <f>SUM('OVI_Ei.felhaszn.'!D11)</f>
        <v>0</v>
      </c>
      <c r="E12" s="722">
        <f>SUM('OVI_Ei.felhaszn.'!E11)</f>
        <v>0</v>
      </c>
      <c r="F12" s="722">
        <f>SUM('OVI_Ei.felhaszn.'!F11)</f>
        <v>0</v>
      </c>
      <c r="G12" s="722">
        <f>SUM('OVI_Ei.felhaszn.'!G11)</f>
        <v>0</v>
      </c>
      <c r="H12" s="722">
        <f>SUM('OVI_Ei.felhaszn.'!H11)</f>
        <v>0</v>
      </c>
      <c r="I12" s="722">
        <f>SUM('OVI_Ei.felhaszn.'!I11)</f>
        <v>0</v>
      </c>
      <c r="J12" s="722">
        <f>SUM('OVI_Ei.felhaszn.'!J11)</f>
        <v>0</v>
      </c>
      <c r="K12" s="722">
        <f>SUM('OVI_Ei.felhaszn.'!K11)</f>
        <v>0</v>
      </c>
      <c r="L12" s="529">
        <f>SUM('OVI_Ei.felhaszn.'!L11)</f>
        <v>0</v>
      </c>
      <c r="M12" s="529">
        <f>SUM('OVI_Ei.felhaszn.'!M11)</f>
        <v>0</v>
      </c>
      <c r="N12" s="529">
        <f>SUM('OVI_Ei.felhaszn.'!N11)</f>
        <v>0</v>
      </c>
      <c r="O12" s="530">
        <f t="shared" si="1"/>
        <v>0</v>
      </c>
      <c r="P12" s="512">
        <f>SUM('OVI_Ei.felhaszn.'!C11)</f>
        <v>0</v>
      </c>
    </row>
    <row r="13" spans="2:16" s="429" customFormat="1" ht="12.75">
      <c r="B13" s="527" t="s">
        <v>95</v>
      </c>
      <c r="C13" s="555"/>
      <c r="D13" s="725">
        <f>SUM('OVI_Ei.felhaszn.'!D12)</f>
        <v>0</v>
      </c>
      <c r="E13" s="722">
        <f>SUM('OVI_Ei.felhaszn.'!E12)</f>
        <v>0</v>
      </c>
      <c r="F13" s="722">
        <f>SUM('OVI_Ei.felhaszn.'!F12)</f>
        <v>0</v>
      </c>
      <c r="G13" s="722">
        <f>SUM('OVI_Ei.felhaszn.'!G12)</f>
        <v>0</v>
      </c>
      <c r="H13" s="722">
        <f>SUM('OVI_Ei.felhaszn.'!H12)</f>
        <v>0</v>
      </c>
      <c r="I13" s="722">
        <f>SUM('OVI_Ei.felhaszn.'!I12)</f>
        <v>0</v>
      </c>
      <c r="J13" s="722">
        <f>SUM('OVI_Ei.felhaszn.'!J12)</f>
        <v>0</v>
      </c>
      <c r="K13" s="722">
        <f>SUM('OVI_Ei.felhaszn.'!K12)</f>
        <v>0</v>
      </c>
      <c r="L13" s="529">
        <f>SUM('OVI_Ei.felhaszn.'!L12)</f>
        <v>0</v>
      </c>
      <c r="M13" s="529">
        <f>SUM('OVI_Ei.felhaszn.'!M12)</f>
        <v>0</v>
      </c>
      <c r="N13" s="529">
        <f>SUM('OVI_Ei.felhaszn.'!N12)</f>
        <v>0</v>
      </c>
      <c r="O13" s="530">
        <f t="shared" si="1"/>
        <v>0</v>
      </c>
      <c r="P13" s="512">
        <f>SUM('OVI_Ei.felhaszn.'!C12)</f>
        <v>0</v>
      </c>
    </row>
    <row r="14" spans="2:16" s="429" customFormat="1" ht="12.75">
      <c r="B14" s="527" t="s">
        <v>277</v>
      </c>
      <c r="C14" s="555"/>
      <c r="D14" s="725">
        <f>SUM('OVI_Ei.felhaszn.'!D14)</f>
        <v>0</v>
      </c>
      <c r="E14" s="722">
        <f>SUM('OVI_Ei.felhaszn.'!E14)</f>
        <v>0</v>
      </c>
      <c r="F14" s="722">
        <f>SUM('OVI_Ei.felhaszn.'!F14)</f>
        <v>0</v>
      </c>
      <c r="G14" s="722">
        <f>SUM('OVI_Ei.felhaszn.'!G14)</f>
        <v>0</v>
      </c>
      <c r="H14" s="722">
        <f>SUM('OVI_Ei.felhaszn.'!H14)</f>
        <v>0</v>
      </c>
      <c r="I14" s="722">
        <f>SUM('OVI_Ei.felhaszn.'!I14)</f>
        <v>0</v>
      </c>
      <c r="J14" s="722">
        <f>SUM('OVI_Ei.felhaszn.'!J14)</f>
        <v>0</v>
      </c>
      <c r="K14" s="722">
        <f>SUM('OVI_Ei.felhaszn.'!K14)</f>
        <v>0</v>
      </c>
      <c r="L14" s="529">
        <f>SUM('OVI_Ei.felhaszn.'!L14)</f>
        <v>0</v>
      </c>
      <c r="M14" s="529">
        <f>SUM('OVI_Ei.felhaszn.'!M14)</f>
        <v>0</v>
      </c>
      <c r="N14" s="529">
        <f>SUM('OVI_Ei.felhaszn.'!N14)</f>
        <v>0</v>
      </c>
      <c r="O14" s="530">
        <f t="shared" si="1"/>
        <v>0</v>
      </c>
      <c r="P14" s="512">
        <f>SUM('OVI_Ei.felhaszn.'!C14)</f>
        <v>0</v>
      </c>
    </row>
    <row r="15" spans="2:16" s="478" customFormat="1" ht="13.5" thickBot="1">
      <c r="B15" s="532" t="s">
        <v>282</v>
      </c>
      <c r="C15" s="556"/>
      <c r="D15" s="726">
        <v>0</v>
      </c>
      <c r="E15" s="726">
        <v>0</v>
      </c>
      <c r="F15" s="726">
        <v>0</v>
      </c>
      <c r="G15" s="726">
        <v>0</v>
      </c>
      <c r="H15" s="726">
        <v>0</v>
      </c>
      <c r="I15" s="726">
        <v>0</v>
      </c>
      <c r="J15" s="726">
        <v>0</v>
      </c>
      <c r="K15" s="726">
        <v>0</v>
      </c>
      <c r="L15" s="534">
        <v>150</v>
      </c>
      <c r="M15" s="534">
        <v>6097</v>
      </c>
      <c r="N15" s="534">
        <v>6370</v>
      </c>
      <c r="O15" s="535">
        <v>14388</v>
      </c>
      <c r="P15" s="533">
        <f>SUM(D15:O15)</f>
        <v>27005</v>
      </c>
    </row>
    <row r="16" spans="2:16" s="429" customFormat="1" ht="13.5" thickBot="1">
      <c r="B16" s="537" t="s">
        <v>147</v>
      </c>
      <c r="C16" s="557" t="s">
        <v>150</v>
      </c>
      <c r="D16" s="723">
        <f aca="true" t="shared" si="2" ref="D16:P16">SUM(D9:D15)</f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150</v>
      </c>
      <c r="M16" s="539">
        <f t="shared" si="2"/>
        <v>6097</v>
      </c>
      <c r="N16" s="539">
        <f t="shared" si="2"/>
        <v>6370</v>
      </c>
      <c r="O16" s="539">
        <f t="shared" si="2"/>
        <v>14388</v>
      </c>
      <c r="P16" s="538">
        <f t="shared" si="2"/>
        <v>27005</v>
      </c>
    </row>
    <row r="17" spans="2:16" s="429" customFormat="1" ht="12.75">
      <c r="B17" s="542" t="s">
        <v>112</v>
      </c>
      <c r="C17" s="554"/>
      <c r="D17" s="719">
        <f>SUM('OVI_Ei.felhaszn.'!D22)</f>
        <v>0</v>
      </c>
      <c r="E17" s="720">
        <f>SUM('OVI_Ei.felhaszn.'!E22)</f>
        <v>0</v>
      </c>
      <c r="F17" s="720">
        <f>SUM('OVI_Ei.felhaszn.'!F22)</f>
        <v>0</v>
      </c>
      <c r="G17" s="720">
        <f>SUM('OVI_Ei.felhaszn.'!G22)</f>
        <v>0</v>
      </c>
      <c r="H17" s="720">
        <f>SUM('OVI_Ei.felhaszn.'!H22)</f>
        <v>0</v>
      </c>
      <c r="I17" s="720">
        <f>SUM('OVI_Ei.felhaszn.'!I22)</f>
        <v>0</v>
      </c>
      <c r="J17" s="720">
        <f>SUM('OVI_Ei.felhaszn.'!J22)</f>
        <v>0</v>
      </c>
      <c r="K17" s="720">
        <f>SUM('OVI_Ei.felhaszn.'!K22)</f>
        <v>0</v>
      </c>
      <c r="L17" s="525">
        <f>SUM('OVI_Ei.felhaszn.'!L22)</f>
        <v>0</v>
      </c>
      <c r="M17" s="525">
        <v>4680</v>
      </c>
      <c r="N17" s="525">
        <v>4766</v>
      </c>
      <c r="O17" s="526">
        <f>+P17-D17-E17-F17-G17-H17-I17-J17-K17-L17-M17-N17</f>
        <v>8985</v>
      </c>
      <c r="P17" s="523">
        <f>SUM('OVI_Ei.felhaszn.'!C22)</f>
        <v>18431</v>
      </c>
    </row>
    <row r="18" spans="2:16" s="429" customFormat="1" ht="12.75">
      <c r="B18" s="544" t="s">
        <v>113</v>
      </c>
      <c r="C18" s="555"/>
      <c r="D18" s="721">
        <f>SUM('OVI_Ei.felhaszn.'!D23)</f>
        <v>0</v>
      </c>
      <c r="E18" s="722">
        <f>SUM('OVI_Ei.felhaszn.'!E23)</f>
        <v>0</v>
      </c>
      <c r="F18" s="722">
        <f>SUM('OVI_Ei.felhaszn.'!F23)</f>
        <v>0</v>
      </c>
      <c r="G18" s="722">
        <f>SUM('OVI_Ei.felhaszn.'!G23)</f>
        <v>0</v>
      </c>
      <c r="H18" s="722">
        <f>SUM('OVI_Ei.felhaszn.'!H23)</f>
        <v>0</v>
      </c>
      <c r="I18" s="722">
        <f>SUM('OVI_Ei.felhaszn.'!I23)</f>
        <v>0</v>
      </c>
      <c r="J18" s="722">
        <f>SUM('OVI_Ei.felhaszn.'!J23)</f>
        <v>0</v>
      </c>
      <c r="K18" s="722">
        <f>SUM('OVI_Ei.felhaszn.'!K23)</f>
        <v>0</v>
      </c>
      <c r="L18" s="529">
        <f>SUM('OVI_Ei.felhaszn.'!L23)</f>
        <v>0</v>
      </c>
      <c r="M18" s="529">
        <v>1223</v>
      </c>
      <c r="N18" s="529">
        <v>1254</v>
      </c>
      <c r="O18" s="530">
        <f aca="true" t="shared" si="3" ref="O18:O23">+P18-D18-E18-F18-G18-H18-I18-J18-K18-L18-M18-N18</f>
        <v>2638</v>
      </c>
      <c r="P18" s="512">
        <f>SUM('OVI_Ei.felhaszn.'!C23)</f>
        <v>5115</v>
      </c>
    </row>
    <row r="19" spans="2:16" s="429" customFormat="1" ht="12.75">
      <c r="B19" s="544" t="s">
        <v>114</v>
      </c>
      <c r="C19" s="555"/>
      <c r="D19" s="721">
        <f>SUM('OVI_Ei.felhaszn.'!D24)</f>
        <v>0</v>
      </c>
      <c r="E19" s="722">
        <f>SUM('OVI_Ei.felhaszn.'!E24)</f>
        <v>0</v>
      </c>
      <c r="F19" s="722">
        <f>SUM('OVI_Ei.felhaszn.'!F24)</f>
        <v>0</v>
      </c>
      <c r="G19" s="722">
        <f>SUM('OVI_Ei.felhaszn.'!G24)</f>
        <v>0</v>
      </c>
      <c r="H19" s="722">
        <f>SUM('OVI_Ei.felhaszn.'!H24)</f>
        <v>0</v>
      </c>
      <c r="I19" s="722">
        <f>SUM('OVI_Ei.felhaszn.'!I24)</f>
        <v>0</v>
      </c>
      <c r="J19" s="722">
        <f>SUM('OVI_Ei.felhaszn.'!J24)</f>
        <v>0</v>
      </c>
      <c r="K19" s="722">
        <f>SUM('OVI_Ei.felhaszn.'!K24)</f>
        <v>0</v>
      </c>
      <c r="L19" s="529">
        <f>SUM('OVI_Ei.felhaszn.'!L24)</f>
        <v>148</v>
      </c>
      <c r="M19" s="529">
        <v>171</v>
      </c>
      <c r="N19" s="529">
        <v>353</v>
      </c>
      <c r="O19" s="530">
        <f t="shared" si="3"/>
        <v>2787</v>
      </c>
      <c r="P19" s="512">
        <f>SUM('OVI_Ei.felhaszn.'!C24)</f>
        <v>3459</v>
      </c>
    </row>
    <row r="20" spans="2:16" s="429" customFormat="1" ht="12.75">
      <c r="B20" s="546" t="s">
        <v>115</v>
      </c>
      <c r="C20" s="555"/>
      <c r="D20" s="721">
        <f>SUM('OVI_Ei.felhaszn.'!D25)</f>
        <v>0</v>
      </c>
      <c r="E20" s="722">
        <f>SUM('OVI_Ei.felhaszn.'!E25)</f>
        <v>0</v>
      </c>
      <c r="F20" s="722">
        <f>SUM('OVI_Ei.felhaszn.'!F25)</f>
        <v>0</v>
      </c>
      <c r="G20" s="722">
        <f>SUM('OVI_Ei.felhaszn.'!G25)</f>
        <v>0</v>
      </c>
      <c r="H20" s="722">
        <f>SUM('OVI_Ei.felhaszn.'!H25)</f>
        <v>0</v>
      </c>
      <c r="I20" s="722">
        <f>SUM('OVI_Ei.felhaszn.'!I25)</f>
        <v>0</v>
      </c>
      <c r="J20" s="722">
        <f>SUM('OVI_Ei.felhaszn.'!J25)</f>
        <v>0</v>
      </c>
      <c r="K20" s="722">
        <f>SUM('OVI_Ei.felhaszn.'!K25)</f>
        <v>0</v>
      </c>
      <c r="L20" s="529">
        <f>SUM('OVI_Ei.felhaszn.'!L25)</f>
        <v>0</v>
      </c>
      <c r="M20" s="529">
        <f>SUM('OVI_Ei.felhaszn.'!M25)</f>
        <v>0</v>
      </c>
      <c r="N20" s="529">
        <f>SUM('OVI_Ei.felhaszn.'!N25)</f>
        <v>0</v>
      </c>
      <c r="O20" s="530">
        <f t="shared" si="3"/>
        <v>0</v>
      </c>
      <c r="P20" s="512">
        <f>SUM('OVI_Ei.felhaszn.'!C25)</f>
        <v>0</v>
      </c>
    </row>
    <row r="21" spans="2:16" s="429" customFormat="1" ht="12.75">
      <c r="B21" s="544" t="s">
        <v>119</v>
      </c>
      <c r="C21" s="555"/>
      <c r="D21" s="721">
        <f>SUM('OVI_Ei.felhaszn.'!D26)</f>
        <v>0</v>
      </c>
      <c r="E21" s="722">
        <f>SUM('OVI_Ei.felhaszn.'!E26)</f>
        <v>0</v>
      </c>
      <c r="F21" s="722">
        <f>SUM('OVI_Ei.felhaszn.'!F26)</f>
        <v>0</v>
      </c>
      <c r="G21" s="722">
        <f>SUM('OVI_Ei.felhaszn.'!G26)</f>
        <v>0</v>
      </c>
      <c r="H21" s="722">
        <f>SUM('OVI_Ei.felhaszn.'!H26)</f>
        <v>0</v>
      </c>
      <c r="I21" s="722">
        <f>SUM('OVI_Ei.felhaszn.'!I26)</f>
        <v>0</v>
      </c>
      <c r="J21" s="722">
        <f>SUM('OVI_Ei.felhaszn.'!J26)</f>
        <v>0</v>
      </c>
      <c r="K21" s="722">
        <f>SUM('OVI_Ei.felhaszn.'!K26)</f>
        <v>0</v>
      </c>
      <c r="L21" s="529">
        <f>SUM('OVI_Ei.felhaszn.'!L26)</f>
        <v>0</v>
      </c>
      <c r="M21" s="529">
        <f>SUM('OVI_Ei.felhaszn.'!M26)</f>
        <v>0</v>
      </c>
      <c r="N21" s="529">
        <f>SUM('OVI_Ei.felhaszn.'!N26)</f>
        <v>0</v>
      </c>
      <c r="O21" s="530">
        <f t="shared" si="3"/>
        <v>0</v>
      </c>
      <c r="P21" s="512">
        <f>SUM('OVI_Ei.felhaszn.'!C26)</f>
        <v>0</v>
      </c>
    </row>
    <row r="22" spans="2:16" s="429" customFormat="1" ht="12.75">
      <c r="B22" s="544" t="s">
        <v>120</v>
      </c>
      <c r="C22" s="555"/>
      <c r="D22" s="721">
        <f>SUM('OVI_Ei.felhaszn.'!D27)</f>
        <v>0</v>
      </c>
      <c r="E22" s="722">
        <f>SUM('OVI_Ei.felhaszn.'!E27)</f>
        <v>0</v>
      </c>
      <c r="F22" s="722">
        <f>SUM('OVI_Ei.felhaszn.'!F27)</f>
        <v>0</v>
      </c>
      <c r="G22" s="722">
        <f>SUM('OVI_Ei.felhaszn.'!G27)</f>
        <v>0</v>
      </c>
      <c r="H22" s="722">
        <f>SUM('OVI_Ei.felhaszn.'!H27)</f>
        <v>0</v>
      </c>
      <c r="I22" s="722">
        <f>SUM('OVI_Ei.felhaszn.'!I27)</f>
        <v>0</v>
      </c>
      <c r="J22" s="722">
        <f>SUM('OVI_Ei.felhaszn.'!J27)</f>
        <v>0</v>
      </c>
      <c r="K22" s="722">
        <f>SUM('OVI_Ei.felhaszn.'!K27)</f>
        <v>0</v>
      </c>
      <c r="L22" s="529">
        <f>SUM('OVI_Ei.felhaszn.'!L27)</f>
        <v>0</v>
      </c>
      <c r="M22" s="529">
        <f>SUM('OVI_Ei.felhaszn.'!M27)</f>
        <v>0</v>
      </c>
      <c r="N22" s="529">
        <f>SUM('OVI_Ei.felhaszn.'!N27)</f>
        <v>0</v>
      </c>
      <c r="O22" s="530">
        <f t="shared" si="3"/>
        <v>0</v>
      </c>
      <c r="P22" s="512">
        <f>SUM('OVI_Ei.felhaszn.'!C27)</f>
        <v>0</v>
      </c>
    </row>
    <row r="23" spans="2:16" s="429" customFormat="1" ht="12.75">
      <c r="B23" s="544" t="s">
        <v>121</v>
      </c>
      <c r="C23" s="555"/>
      <c r="D23" s="721">
        <f>SUM('OVI_Ei.felhaszn.'!D28)</f>
        <v>0</v>
      </c>
      <c r="E23" s="722">
        <f>SUM('OVI_Ei.felhaszn.'!E28)</f>
        <v>0</v>
      </c>
      <c r="F23" s="722">
        <f>SUM('OVI_Ei.felhaszn.'!F28)</f>
        <v>0</v>
      </c>
      <c r="G23" s="722">
        <f>SUM('OVI_Ei.felhaszn.'!G28)</f>
        <v>0</v>
      </c>
      <c r="H23" s="722">
        <f>SUM('OVI_Ei.felhaszn.'!H28)</f>
        <v>0</v>
      </c>
      <c r="I23" s="722">
        <f>SUM('OVI_Ei.felhaszn.'!I28)</f>
        <v>0</v>
      </c>
      <c r="J23" s="722">
        <f>SUM('OVI_Ei.felhaszn.'!J28)</f>
        <v>0</v>
      </c>
      <c r="K23" s="722">
        <f>SUM('OVI_Ei.felhaszn.'!K28)</f>
        <v>0</v>
      </c>
      <c r="L23" s="529">
        <f>SUM('OVI_Ei.felhaszn.'!L28)</f>
        <v>0</v>
      </c>
      <c r="M23" s="529">
        <f>SUM('OVI_Ei.felhaszn.'!M28)</f>
        <v>0</v>
      </c>
      <c r="N23" s="529">
        <f>SUM('OVI_Ei.felhaszn.'!N28)</f>
        <v>0</v>
      </c>
      <c r="O23" s="530">
        <f t="shared" si="3"/>
        <v>0</v>
      </c>
      <c r="P23" s="512">
        <f>SUM('OVI_Ei.felhaszn.'!C28)</f>
        <v>0</v>
      </c>
    </row>
    <row r="24" spans="2:16" s="429" customFormat="1" ht="13.5" thickBot="1">
      <c r="B24" s="544" t="s">
        <v>280</v>
      </c>
      <c r="C24" s="555"/>
      <c r="D24" s="721">
        <f>SUM('OVI_Ei.felhaszn.'!D29)</f>
        <v>0</v>
      </c>
      <c r="E24" s="722">
        <f>SUM('OVI_Ei.felhaszn.'!E29)</f>
        <v>0</v>
      </c>
      <c r="F24" s="722">
        <f>SUM('OVI_Ei.felhaszn.'!F29)</f>
        <v>0</v>
      </c>
      <c r="G24" s="722">
        <f>SUM('OVI_Ei.felhaszn.'!G29)</f>
        <v>0</v>
      </c>
      <c r="H24" s="722">
        <f>SUM('OVI_Ei.felhaszn.'!H29)</f>
        <v>0</v>
      </c>
      <c r="I24" s="722">
        <f>SUM('OVI_Ei.felhaszn.'!I29)</f>
        <v>0</v>
      </c>
      <c r="J24" s="722">
        <f>SUM('OVI_Ei.felhaszn.'!J29)</f>
        <v>0</v>
      </c>
      <c r="K24" s="722">
        <f>SUM('OVI_Ei.felhaszn.'!K29)</f>
        <v>0</v>
      </c>
      <c r="L24" s="529">
        <f>SUM('OVI_Ei.felhaszn.'!L29)</f>
        <v>0</v>
      </c>
      <c r="M24" s="529">
        <f>SUM('OVI_Ei.felhaszn.'!M29)</f>
        <v>0</v>
      </c>
      <c r="N24" s="529">
        <f>SUM('OVI_Ei.felhaszn.'!N29)</f>
        <v>0</v>
      </c>
      <c r="O24" s="529">
        <f>SUM('OVI_Ei.felhaszn.'!O29)</f>
        <v>0</v>
      </c>
      <c r="P24" s="512">
        <f>SUM('OVI_Ei.felhaszn.'!C29)</f>
        <v>0</v>
      </c>
    </row>
    <row r="25" spans="2:16" s="429" customFormat="1" ht="13.5" thickBot="1">
      <c r="B25" s="537" t="s">
        <v>148</v>
      </c>
      <c r="C25" s="558" t="s">
        <v>151</v>
      </c>
      <c r="D25" s="723">
        <f aca="true" t="shared" si="4" ref="D25:P25">SUM(D17:D24)</f>
        <v>0</v>
      </c>
      <c r="E25" s="723">
        <f t="shared" si="4"/>
        <v>0</v>
      </c>
      <c r="F25" s="723">
        <f t="shared" si="4"/>
        <v>0</v>
      </c>
      <c r="G25" s="723">
        <f t="shared" si="4"/>
        <v>0</v>
      </c>
      <c r="H25" s="723">
        <f t="shared" si="4"/>
        <v>0</v>
      </c>
      <c r="I25" s="723">
        <f t="shared" si="4"/>
        <v>0</v>
      </c>
      <c r="J25" s="723">
        <f t="shared" si="4"/>
        <v>0</v>
      </c>
      <c r="K25" s="723">
        <f t="shared" si="4"/>
        <v>0</v>
      </c>
      <c r="L25" s="539">
        <f t="shared" si="4"/>
        <v>148</v>
      </c>
      <c r="M25" s="539">
        <f t="shared" si="4"/>
        <v>6074</v>
      </c>
      <c r="N25" s="539">
        <f t="shared" si="4"/>
        <v>6373</v>
      </c>
      <c r="O25" s="539">
        <f t="shared" si="4"/>
        <v>14410</v>
      </c>
      <c r="P25" s="538">
        <f t="shared" si="4"/>
        <v>27005</v>
      </c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0</v>
      </c>
      <c r="E26" s="551">
        <f t="shared" si="5"/>
        <v>0</v>
      </c>
      <c r="F26" s="551">
        <f t="shared" si="5"/>
        <v>0</v>
      </c>
      <c r="G26" s="551">
        <f t="shared" si="5"/>
        <v>0</v>
      </c>
      <c r="H26" s="551">
        <f t="shared" si="5"/>
        <v>0</v>
      </c>
      <c r="I26" s="551">
        <f t="shared" si="5"/>
        <v>0</v>
      </c>
      <c r="J26" s="551">
        <f t="shared" si="5"/>
        <v>0</v>
      </c>
      <c r="K26" s="551">
        <f t="shared" si="5"/>
        <v>0</v>
      </c>
      <c r="L26" s="551">
        <f t="shared" si="5"/>
        <v>2</v>
      </c>
      <c r="M26" s="551">
        <f t="shared" si="5"/>
        <v>25</v>
      </c>
      <c r="N26" s="551">
        <f t="shared" si="5"/>
        <v>22</v>
      </c>
      <c r="O26" s="552">
        <f t="shared" si="5"/>
        <v>0</v>
      </c>
      <c r="P26" s="561"/>
    </row>
    <row r="27" ht="12.75">
      <c r="C27" s="27"/>
    </row>
    <row r="28" spans="9:10" ht="35.25" customHeight="1">
      <c r="I28" s="63"/>
      <c r="J28" s="704"/>
    </row>
    <row r="29" ht="12.75">
      <c r="J29" s="704"/>
    </row>
    <row r="30" ht="12.75">
      <c r="J30" s="704"/>
    </row>
    <row r="31" ht="12.75">
      <c r="J31" s="704"/>
    </row>
    <row r="32" ht="12.75">
      <c r="J32" s="704"/>
    </row>
    <row r="33" ht="12.75">
      <c r="J33" s="704"/>
    </row>
    <row r="34" ht="12.75">
      <c r="J34" s="704"/>
    </row>
  </sheetData>
  <sheetProtection/>
  <mergeCells count="2">
    <mergeCell ref="B2:O2"/>
    <mergeCell ref="O4:P4"/>
  </mergeCells>
  <printOptions horizontalCentered="1"/>
  <pageMargins left="0.5118110236220472" right="0.5118110236220472" top="0.7874015748031497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86.xml><?xml version="1.0" encoding="utf-8"?>
<worksheet xmlns="http://schemas.openxmlformats.org/spreadsheetml/2006/main" xmlns:r="http://schemas.openxmlformats.org/officeDocument/2006/relationships">
  <dimension ref="B3:M13"/>
  <sheetViews>
    <sheetView zoomScalePageLayoutView="0" workbookViewId="0" topLeftCell="A1">
      <selection activeCell="I16" sqref="I16"/>
    </sheetView>
  </sheetViews>
  <sheetFormatPr defaultColWidth="9.00390625" defaultRowHeight="12.75"/>
  <cols>
    <col min="2" max="2" width="45.125" style="0" bestFit="1" customWidth="1"/>
    <col min="3" max="6" width="9.875" style="0" customWidth="1"/>
    <col min="7" max="9" width="13.25390625" style="0" customWidth="1"/>
    <col min="11" max="11" width="10.625" style="0" customWidth="1"/>
  </cols>
  <sheetData>
    <row r="2" ht="11.25" customHeight="1"/>
    <row r="3" spans="2:10" ht="59.25" customHeight="1">
      <c r="B3" s="776" t="s">
        <v>1</v>
      </c>
      <c r="C3" s="776"/>
      <c r="D3" s="776"/>
      <c r="E3" s="776"/>
      <c r="F3" s="776"/>
      <c r="G3" s="776"/>
      <c r="H3" s="776"/>
      <c r="I3" s="776"/>
      <c r="J3" s="594"/>
    </row>
    <row r="4" spans="7:9" ht="15" customHeight="1">
      <c r="G4" s="18"/>
      <c r="I4" s="18"/>
    </row>
    <row r="5" spans="7:9" ht="12.75">
      <c r="G5" s="18"/>
      <c r="I5" s="136" t="s">
        <v>756</v>
      </c>
    </row>
    <row r="6" spans="7:9" ht="13.5" thickBot="1">
      <c r="G6" s="18"/>
      <c r="I6" s="18"/>
    </row>
    <row r="7" spans="2:13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  <c r="J7" s="670"/>
      <c r="K7" s="672"/>
      <c r="L7" s="671"/>
      <c r="M7" s="671"/>
    </row>
    <row r="8" spans="2:9" ht="13.5" thickBot="1">
      <c r="B8" s="317" t="s">
        <v>2</v>
      </c>
      <c r="C8" s="603">
        <f>SUM('OVI_működési kiadás'!D8)</f>
        <v>18431</v>
      </c>
      <c r="D8" s="595">
        <f>SUM('OVI_működési kiadás'!E8)</f>
        <v>5115</v>
      </c>
      <c r="E8" s="595">
        <f>SUM('OVI_működési kiadás'!F8)</f>
        <v>3459</v>
      </c>
      <c r="F8" s="595">
        <v>0</v>
      </c>
      <c r="G8" s="596">
        <f>SUM(C8:F8)</f>
        <v>27005</v>
      </c>
      <c r="H8" s="612">
        <v>0</v>
      </c>
      <c r="I8" s="607">
        <f>SUM(G8:H8)</f>
        <v>27005</v>
      </c>
    </row>
    <row r="9" spans="2:9" ht="15.75" thickBot="1">
      <c r="B9" s="627" t="s">
        <v>664</v>
      </c>
      <c r="C9" s="628">
        <f>SUM(C8:C8)</f>
        <v>18431</v>
      </c>
      <c r="D9" s="629">
        <f>SUM(D8:D8)</f>
        <v>5115</v>
      </c>
      <c r="E9" s="629">
        <f>SUM(E8:E8)</f>
        <v>3459</v>
      </c>
      <c r="F9" s="629">
        <f>SUM(F8:F8)</f>
        <v>0</v>
      </c>
      <c r="G9" s="630">
        <f>SUM(C9:F9)</f>
        <v>27005</v>
      </c>
      <c r="H9" s="631">
        <f>SUM(H8:H8)</f>
        <v>0</v>
      </c>
      <c r="I9" s="632">
        <f>SUM(G9:H9)</f>
        <v>27005</v>
      </c>
    </row>
    <row r="10" spans="2:9" ht="13.5" thickBot="1">
      <c r="B10" s="55" t="s">
        <v>151</v>
      </c>
      <c r="C10" s="604">
        <v>0</v>
      </c>
      <c r="D10" s="56">
        <v>0</v>
      </c>
      <c r="E10" s="56">
        <v>0</v>
      </c>
      <c r="F10" s="56">
        <v>0</v>
      </c>
      <c r="G10" s="54">
        <f>SUM(C10:F10)</f>
        <v>0</v>
      </c>
      <c r="H10" s="613">
        <v>0</v>
      </c>
      <c r="I10" s="608">
        <f>SUM(G10:H10)</f>
        <v>0</v>
      </c>
    </row>
    <row r="11" spans="2:9" ht="15.75" thickBot="1">
      <c r="B11" s="627" t="s">
        <v>665</v>
      </c>
      <c r="C11" s="628">
        <f aca="true" t="shared" si="0" ref="C11:I11">SUM(C10:C10)</f>
        <v>0</v>
      </c>
      <c r="D11" s="629">
        <f t="shared" si="0"/>
        <v>0</v>
      </c>
      <c r="E11" s="629">
        <f t="shared" si="0"/>
        <v>0</v>
      </c>
      <c r="F11" s="629">
        <f t="shared" si="0"/>
        <v>0</v>
      </c>
      <c r="G11" s="630">
        <f t="shared" si="0"/>
        <v>0</v>
      </c>
      <c r="H11" s="631">
        <f t="shared" si="0"/>
        <v>0</v>
      </c>
      <c r="I11" s="632">
        <f t="shared" si="0"/>
        <v>0</v>
      </c>
    </row>
    <row r="12" spans="2:9" ht="13.5" thickBot="1">
      <c r="B12" s="494" t="s">
        <v>151</v>
      </c>
      <c r="C12" s="606">
        <v>0</v>
      </c>
      <c r="D12" s="600">
        <v>0</v>
      </c>
      <c r="E12" s="600">
        <v>0</v>
      </c>
      <c r="F12" s="600">
        <v>0</v>
      </c>
      <c r="G12" s="601">
        <f>SUM(C12:F12)</f>
        <v>0</v>
      </c>
      <c r="H12" s="615">
        <v>0</v>
      </c>
      <c r="I12" s="611">
        <f>SUM(G12:H12)</f>
        <v>0</v>
      </c>
    </row>
    <row r="13" spans="2:9" ht="15.75" thickBot="1">
      <c r="B13" s="627" t="s">
        <v>666</v>
      </c>
      <c r="C13" s="628">
        <f>SUM(C12)</f>
        <v>0</v>
      </c>
      <c r="D13" s="629">
        <f>SUM(D12)</f>
        <v>0</v>
      </c>
      <c r="E13" s="629">
        <f>SUM(E12)</f>
        <v>0</v>
      </c>
      <c r="F13" s="629">
        <f>SUM(F12)</f>
        <v>0</v>
      </c>
      <c r="G13" s="630">
        <f>SUM(C13:F13)</f>
        <v>0</v>
      </c>
      <c r="H13" s="631">
        <f>SUM(H12)</f>
        <v>0</v>
      </c>
      <c r="I13" s="632">
        <f>SUM(G13:H13)</f>
        <v>0</v>
      </c>
    </row>
  </sheetData>
  <sheetProtection/>
  <mergeCells count="1">
    <mergeCell ref="B3:I3"/>
  </mergeCells>
  <printOptions horizontalCentered="1"/>
  <pageMargins left="0.7480314960629921" right="0.7480314960629921" top="0.78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4">
      <selection activeCell="E20" sqref="E20"/>
    </sheetView>
  </sheetViews>
  <sheetFormatPr defaultColWidth="9.00390625" defaultRowHeight="12.75"/>
  <cols>
    <col min="1" max="1" width="9.125" style="2" customWidth="1"/>
    <col min="2" max="2" width="75.7539062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541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368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1145741</v>
      </c>
      <c r="H8"/>
      <c r="I8"/>
      <c r="J8"/>
      <c r="K8"/>
    </row>
    <row r="9" spans="2:11" s="2" customFormat="1" ht="15">
      <c r="B9" s="94" t="s">
        <v>112</v>
      </c>
      <c r="C9" s="93">
        <f>SUM('Össz_működési kiadás'!D14)</f>
        <v>296033</v>
      </c>
      <c r="H9"/>
      <c r="I9"/>
      <c r="J9"/>
      <c r="K9"/>
    </row>
    <row r="10" spans="2:11" s="2" customFormat="1" ht="15">
      <c r="B10" s="94" t="s">
        <v>113</v>
      </c>
      <c r="C10" s="93">
        <f>SUM('Össz_működési kiadás'!E14)</f>
        <v>63701</v>
      </c>
      <c r="H10"/>
      <c r="I10"/>
      <c r="J10"/>
      <c r="K10"/>
    </row>
    <row r="11" spans="2:11" s="2" customFormat="1" ht="15">
      <c r="B11" s="94" t="s">
        <v>114</v>
      </c>
      <c r="C11" s="93">
        <f>SUM('Össz_működési kiadás'!F14)</f>
        <v>369756</v>
      </c>
      <c r="F11" s="27"/>
      <c r="H11"/>
      <c r="I11"/>
      <c r="J11"/>
      <c r="K11"/>
    </row>
    <row r="12" spans="2:11" s="2" customFormat="1" ht="15">
      <c r="B12" s="94" t="s">
        <v>115</v>
      </c>
      <c r="C12" s="93">
        <f>SUM(C13:C17)</f>
        <v>416251</v>
      </c>
      <c r="H12"/>
      <c r="I12"/>
      <c r="J12"/>
      <c r="K12"/>
    </row>
    <row r="13" spans="2:3" ht="15">
      <c r="B13" s="94" t="s">
        <v>542</v>
      </c>
      <c r="C13" s="93">
        <f>SUM('Össz_Támogatásért.'!B6)</f>
        <v>101842</v>
      </c>
    </row>
    <row r="14" spans="2:3" ht="15">
      <c r="B14" s="94" t="s">
        <v>543</v>
      </c>
      <c r="C14" s="93">
        <f>SUM('Össz_Pe. átad. '!B8)</f>
        <v>24540</v>
      </c>
    </row>
    <row r="15" spans="2:3" ht="15">
      <c r="B15" s="94" t="s">
        <v>254</v>
      </c>
      <c r="C15" s="93">
        <f>SUM('Össz_Szoc.alap'!E27)</f>
        <v>284541</v>
      </c>
    </row>
    <row r="16" spans="2:6" ht="15">
      <c r="B16" s="94" t="s">
        <v>348</v>
      </c>
      <c r="C16" s="93">
        <f>SUM('ÖNK_Összes kiadás'!C16)</f>
        <v>5328</v>
      </c>
      <c r="F16" s="27"/>
    </row>
    <row r="17" spans="2:3" ht="15">
      <c r="B17" s="94" t="s">
        <v>425</v>
      </c>
      <c r="C17" s="93">
        <f>SUM('ÖNK_Összes kiadás'!C17)</f>
        <v>0</v>
      </c>
    </row>
    <row r="18" spans="2:11" s="2" customFormat="1" ht="15.75">
      <c r="B18" s="101" t="s">
        <v>118</v>
      </c>
      <c r="C18" s="102">
        <f>SUM(C19+C20+C21)</f>
        <v>427503</v>
      </c>
      <c r="H18"/>
      <c r="I18"/>
      <c r="J18"/>
      <c r="K18"/>
    </row>
    <row r="19" spans="2:11" s="2" customFormat="1" ht="15">
      <c r="B19" s="94" t="s">
        <v>119</v>
      </c>
      <c r="C19" s="93">
        <v>331187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v>25519</v>
      </c>
      <c r="H21"/>
      <c r="I21"/>
      <c r="J21"/>
      <c r="K21"/>
    </row>
    <row r="22" spans="2:3" ht="15">
      <c r="B22" s="94" t="s">
        <v>544</v>
      </c>
      <c r="C22" s="93">
        <v>4664</v>
      </c>
    </row>
    <row r="23" spans="2:3" ht="15">
      <c r="B23" s="94" t="s">
        <v>545</v>
      </c>
      <c r="C23" s="93">
        <v>6815</v>
      </c>
    </row>
    <row r="24" spans="2:6" ht="15">
      <c r="B24" s="94" t="s">
        <v>278</v>
      </c>
      <c r="C24" s="93">
        <f>SUM('ÖNK_Összes kiadás'!C24)</f>
        <v>14040</v>
      </c>
      <c r="F24" s="27"/>
    </row>
    <row r="25" spans="2:6" ht="15.75">
      <c r="B25" s="101" t="s">
        <v>279</v>
      </c>
      <c r="C25" s="102">
        <f>SUM('ÖNK_Összes kiadás'!C25)</f>
        <v>231129</v>
      </c>
      <c r="F25" s="27"/>
    </row>
    <row r="26" spans="2:3" ht="15.75">
      <c r="B26" s="101" t="s">
        <v>281</v>
      </c>
      <c r="C26" s="102">
        <f>SUM('ÖNK_Összes kiadás'!C26)</f>
        <v>0</v>
      </c>
    </row>
    <row r="27" spans="2:3" ht="15.75">
      <c r="B27" s="101" t="s">
        <v>280</v>
      </c>
      <c r="C27" s="102">
        <f>SUM('ÖNK_Összes kiadás'!C27+'PH_Összes kiadás'!C22+'GAM_Összes kiadás'!C20+'ILMKÖsszes kiadás'!C21+'OVI_Összes kiadás'!C20)</f>
        <v>0</v>
      </c>
    </row>
    <row r="28" spans="2:6" ht="16.5" thickBot="1">
      <c r="B28" s="101" t="s">
        <v>742</v>
      </c>
      <c r="C28" s="102">
        <f>SUM('ÖNK_Összes kiadás'!C28)</f>
        <v>37418</v>
      </c>
      <c r="F28" s="27"/>
    </row>
    <row r="29" spans="2:4" ht="18.75" thickBot="1">
      <c r="B29" s="95" t="s">
        <v>271</v>
      </c>
      <c r="C29" s="96">
        <f>SUM(C8+C18+C25+C26+C27+C28)</f>
        <v>1841791</v>
      </c>
      <c r="D29" s="17"/>
    </row>
    <row r="31" spans="3:11" s="2" customFormat="1" ht="12.75">
      <c r="C31" s="97"/>
      <c r="H31"/>
      <c r="I31"/>
      <c r="J31"/>
      <c r="K31"/>
    </row>
    <row r="32" spans="8:11" s="2" customFormat="1" ht="12.75">
      <c r="H32"/>
      <c r="I32"/>
      <c r="J32"/>
      <c r="K32"/>
    </row>
    <row r="33" spans="3:11" s="2" customFormat="1" ht="12.75">
      <c r="C33" s="27"/>
      <c r="H33"/>
      <c r="I33"/>
      <c r="J33"/>
      <c r="K33"/>
    </row>
    <row r="34" spans="8:11" s="2" customFormat="1" ht="12.75">
      <c r="H34"/>
      <c r="I34"/>
      <c r="J34"/>
      <c r="K34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Bakosi</dc:creator>
  <cp:keywords/>
  <dc:description/>
  <cp:lastModifiedBy>ilike</cp:lastModifiedBy>
  <cp:lastPrinted>2014-02-17T10:00:13Z</cp:lastPrinted>
  <dcterms:created xsi:type="dcterms:W3CDTF">2012-01-29T13:43:41Z</dcterms:created>
  <dcterms:modified xsi:type="dcterms:W3CDTF">2014-02-17T10:50:17Z</dcterms:modified>
  <cp:category/>
  <cp:version/>
  <cp:contentType/>
  <cp:contentStatus/>
</cp:coreProperties>
</file>