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2018. évi ktgvetés tervezés\2018. ktgvet a 2018 januári ülésre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2" sheetId="72" state="hidden" r:id="rId23"/>
    <sheet name="likvid" sheetId="24" r:id="rId24"/>
    <sheet name="Munka1" sheetId="73" state="hidden" r:id="rId25"/>
    <sheet name="létszám" sheetId="68" r:id="rId26"/>
    <sheet name="Kötváll Ph." sheetId="65" state="hidden" r:id="rId27"/>
    <sheet name="Kötváll Önk" sheetId="66" r:id="rId28"/>
    <sheet name="kötváll. " sheetId="56" state="hidden" r:id="rId29"/>
    <sheet name="közvetett t." sheetId="54" r:id="rId30"/>
    <sheet name="hitelállomány " sheetId="55" r:id="rId31"/>
  </sheets>
  <definedNames>
    <definedName name="Excel_BuiltIn_Print_Titles" localSheetId="16">'ellátottak önk.'!$B$8:$IM$9</definedName>
    <definedName name="Excel_BuiltIn_Print_Titles" localSheetId="25">#REF!</definedName>
    <definedName name="Excel_BuiltIn_Print_Titles">#REF!</definedName>
    <definedName name="_xlnm.Print_Titles" localSheetId="16">'ellátottak önk.'!$8:$9</definedName>
    <definedName name="_xlnm.Print_Titles" localSheetId="8">'felh. bev.  '!$7:$9</definedName>
    <definedName name="_xlnm.Print_Titles" localSheetId="10">'felhalm. kiad.  '!$5:$9</definedName>
    <definedName name="_xlnm.Print_Titles" localSheetId="28">'kötváll. '!$7:$8</definedName>
    <definedName name="_xlnm.Print_Titles" localSheetId="25">létszám!$5:$8</definedName>
    <definedName name="_xlnm.Print_Titles" localSheetId="9">mc.pe.átad!$8:$9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H75" i="66" l="1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H15" i="55" l="1"/>
  <c r="D15" i="55"/>
  <c r="C15" i="55"/>
  <c r="U92" i="68" l="1"/>
  <c r="P92" i="68"/>
  <c r="M92" i="68"/>
  <c r="R92" i="68"/>
  <c r="W92" i="68" s="1"/>
  <c r="P93" i="68" l="1"/>
  <c r="L93" i="68"/>
  <c r="W93" i="68"/>
  <c r="C42" i="47" l="1"/>
  <c r="F49" i="7"/>
  <c r="R40" i="15"/>
  <c r="B40" i="15"/>
  <c r="B41" i="15"/>
  <c r="B42" i="15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R39" i="15"/>
  <c r="G40" i="8"/>
  <c r="F40" i="8"/>
  <c r="G24" i="8"/>
  <c r="F24" i="8"/>
  <c r="C18" i="10"/>
  <c r="E17" i="10"/>
  <c r="R46" i="15" l="1"/>
  <c r="H14" i="64" l="1"/>
  <c r="H13" i="64"/>
  <c r="H12" i="64"/>
  <c r="D20" i="64"/>
  <c r="C20" i="64"/>
  <c r="H45" i="46" l="1"/>
  <c r="G45" i="46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G92" i="8"/>
  <c r="E92" i="8"/>
  <c r="D92" i="8"/>
  <c r="H38" i="15"/>
  <c r="G41" i="8"/>
  <c r="F41" i="8"/>
  <c r="E42" i="8"/>
  <c r="D41" i="8"/>
  <c r="D42" i="8"/>
  <c r="G59" i="15"/>
  <c r="E59" i="15"/>
  <c r="F48" i="7" l="1"/>
  <c r="F47" i="7" l="1"/>
  <c r="E42" i="24" l="1"/>
  <c r="F42" i="24"/>
  <c r="G42" i="24"/>
  <c r="H42" i="24"/>
  <c r="I42" i="24"/>
  <c r="J42" i="24"/>
  <c r="K42" i="24"/>
  <c r="L42" i="24"/>
  <c r="M42" i="24"/>
  <c r="N42" i="24"/>
  <c r="D42" i="24"/>
  <c r="S30" i="68" l="1"/>
  <c r="P99" i="68"/>
  <c r="R99" i="68" s="1"/>
  <c r="U10" i="68"/>
  <c r="P39" i="68"/>
  <c r="L40" i="68"/>
  <c r="U39" i="68"/>
  <c r="M30" i="68"/>
  <c r="M23" i="68"/>
  <c r="M22" i="68"/>
  <c r="M21" i="68"/>
  <c r="M20" i="68"/>
  <c r="M19" i="68"/>
  <c r="M18" i="68"/>
  <c r="M17" i="68"/>
  <c r="M16" i="68"/>
  <c r="E12" i="68"/>
  <c r="M24" i="68" l="1"/>
  <c r="H64" i="8"/>
  <c r="F64" i="8"/>
  <c r="C62" i="5"/>
  <c r="E42" i="46"/>
  <c r="E21" i="7" l="1"/>
  <c r="D21" i="7"/>
  <c r="F20" i="7"/>
  <c r="C28" i="10" l="1"/>
  <c r="D31" i="10" l="1"/>
  <c r="C31" i="10"/>
  <c r="C15" i="10"/>
  <c r="H59" i="15"/>
  <c r="F78" i="8"/>
  <c r="H78" i="8" s="1"/>
  <c r="D52" i="8" l="1"/>
  <c r="F51" i="8"/>
  <c r="H51" i="8" s="1"/>
  <c r="H52" i="8" s="1"/>
  <c r="F22" i="8" l="1"/>
  <c r="D24" i="47" l="1"/>
  <c r="E24" i="47"/>
  <c r="C24" i="47"/>
  <c r="C33" i="42"/>
  <c r="E41" i="5" l="1"/>
  <c r="C41" i="5"/>
  <c r="D41" i="5"/>
  <c r="D11" i="5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E48" i="15" l="1"/>
  <c r="G48" i="15" s="1"/>
  <c r="I33" i="15"/>
  <c r="E94" i="8"/>
  <c r="I13" i="44"/>
  <c r="F108" i="8" l="1"/>
  <c r="G33" i="15" l="1"/>
  <c r="E33" i="15"/>
  <c r="I13" i="64" l="1"/>
  <c r="F110" i="8"/>
  <c r="G116" i="8"/>
  <c r="F115" i="8"/>
  <c r="F116" i="8" s="1"/>
  <c r="E116" i="8"/>
  <c r="D116" i="8"/>
  <c r="D106" i="68" l="1"/>
  <c r="V104" i="68"/>
  <c r="Q104" i="68"/>
  <c r="K104" i="68"/>
  <c r="K106" i="68" s="1"/>
  <c r="J104" i="68"/>
  <c r="J106" i="68" s="1"/>
  <c r="I104" i="68"/>
  <c r="H104" i="68"/>
  <c r="H106" i="68" s="1"/>
  <c r="E104" i="68"/>
  <c r="C104" i="68"/>
  <c r="C106" i="68" s="1"/>
  <c r="T101" i="68"/>
  <c r="S101" i="68"/>
  <c r="O101" i="68"/>
  <c r="L101" i="68"/>
  <c r="M101" i="68" s="1"/>
  <c r="W100" i="68"/>
  <c r="U100" i="68"/>
  <c r="M100" i="68"/>
  <c r="W99" i="68"/>
  <c r="U99" i="68"/>
  <c r="M99" i="68"/>
  <c r="P98" i="68"/>
  <c r="U98" i="68" s="1"/>
  <c r="M98" i="68"/>
  <c r="R98" i="68" s="1"/>
  <c r="W98" i="68" s="1"/>
  <c r="T93" i="68"/>
  <c r="S93" i="68"/>
  <c r="O93" i="68"/>
  <c r="N93" i="68"/>
  <c r="M93" i="68"/>
  <c r="R93" i="68" s="1"/>
  <c r="U91" i="68"/>
  <c r="M91" i="68"/>
  <c r="R91" i="68" s="1"/>
  <c r="W91" i="68" s="1"/>
  <c r="U90" i="68"/>
  <c r="M90" i="68"/>
  <c r="R90" i="68" s="1"/>
  <c r="W90" i="68" s="1"/>
  <c r="U89" i="68"/>
  <c r="M89" i="68"/>
  <c r="R89" i="68" s="1"/>
  <c r="W89" i="68" s="1"/>
  <c r="U87" i="68"/>
  <c r="M87" i="68"/>
  <c r="R87" i="68" s="1"/>
  <c r="W87" i="68" s="1"/>
  <c r="U86" i="68"/>
  <c r="M86" i="68"/>
  <c r="R86" i="68" s="1"/>
  <c r="W86" i="68" s="1"/>
  <c r="U85" i="68"/>
  <c r="M85" i="68"/>
  <c r="R85" i="68" s="1"/>
  <c r="W85" i="68" s="1"/>
  <c r="U84" i="68"/>
  <c r="M84" i="68"/>
  <c r="R84" i="68" s="1"/>
  <c r="W84" i="68" s="1"/>
  <c r="U83" i="68"/>
  <c r="M83" i="68"/>
  <c r="R83" i="68" s="1"/>
  <c r="W83" i="68" s="1"/>
  <c r="U82" i="68"/>
  <c r="M82" i="68"/>
  <c r="R82" i="68" s="1"/>
  <c r="W82" i="68" s="1"/>
  <c r="U81" i="68"/>
  <c r="M81" i="68"/>
  <c r="R81" i="68" s="1"/>
  <c r="W81" i="68" s="1"/>
  <c r="U80" i="68"/>
  <c r="M80" i="68"/>
  <c r="R80" i="68" s="1"/>
  <c r="W80" i="68" s="1"/>
  <c r="U78" i="68"/>
  <c r="M78" i="68"/>
  <c r="R78" i="68" s="1"/>
  <c r="W78" i="68" s="1"/>
  <c r="U77" i="68"/>
  <c r="M77" i="68"/>
  <c r="R77" i="68" s="1"/>
  <c r="W77" i="68" s="1"/>
  <c r="U76" i="68"/>
  <c r="M76" i="68"/>
  <c r="R76" i="68" s="1"/>
  <c r="W76" i="68" s="1"/>
  <c r="U75" i="68"/>
  <c r="M75" i="68"/>
  <c r="R75" i="68" s="1"/>
  <c r="W75" i="68" s="1"/>
  <c r="U74" i="68"/>
  <c r="M74" i="68"/>
  <c r="R74" i="68" s="1"/>
  <c r="W74" i="68" s="1"/>
  <c r="U73" i="68"/>
  <c r="M73" i="68"/>
  <c r="R73" i="68" s="1"/>
  <c r="W73" i="68" s="1"/>
  <c r="U72" i="68"/>
  <c r="M72" i="68"/>
  <c r="R72" i="68" s="1"/>
  <c r="W72" i="68" s="1"/>
  <c r="U71" i="68"/>
  <c r="M71" i="68"/>
  <c r="R71" i="68" s="1"/>
  <c r="W71" i="68" s="1"/>
  <c r="U70" i="68"/>
  <c r="M70" i="68"/>
  <c r="R70" i="68" s="1"/>
  <c r="W70" i="68" s="1"/>
  <c r="M41" i="68"/>
  <c r="O40" i="68"/>
  <c r="T40" i="68" s="1"/>
  <c r="N40" i="68"/>
  <c r="M39" i="68"/>
  <c r="W39" i="68" s="1"/>
  <c r="U38" i="68"/>
  <c r="M38" i="68"/>
  <c r="R38" i="68" s="1"/>
  <c r="U37" i="68"/>
  <c r="M37" i="68"/>
  <c r="R37" i="68" s="1"/>
  <c r="U36" i="68"/>
  <c r="M36" i="68"/>
  <c r="R36" i="68" s="1"/>
  <c r="U35" i="68"/>
  <c r="M35" i="68"/>
  <c r="R35" i="68" s="1"/>
  <c r="U34" i="68"/>
  <c r="P34" i="68"/>
  <c r="M34" i="68"/>
  <c r="W34" i="68" s="1"/>
  <c r="U33" i="68"/>
  <c r="M33" i="68"/>
  <c r="W33" i="68" s="1"/>
  <c r="U32" i="68"/>
  <c r="P32" i="68"/>
  <c r="M32" i="68"/>
  <c r="W32" i="68" s="1"/>
  <c r="U31" i="68"/>
  <c r="P31" i="68"/>
  <c r="M31" i="68"/>
  <c r="R31" i="68" s="1"/>
  <c r="U30" i="68"/>
  <c r="T30" i="68"/>
  <c r="W30" i="68"/>
  <c r="U29" i="68"/>
  <c r="P29" i="68"/>
  <c r="M29" i="68"/>
  <c r="W29" i="68" s="1"/>
  <c r="U28" i="68"/>
  <c r="P28" i="68"/>
  <c r="M28" i="68"/>
  <c r="L24" i="68"/>
  <c r="P24" i="68" s="1"/>
  <c r="U24" i="68" s="1"/>
  <c r="P23" i="68"/>
  <c r="U23" i="68" s="1"/>
  <c r="R23" i="68"/>
  <c r="W23" i="68" s="1"/>
  <c r="P22" i="68"/>
  <c r="R22" i="68"/>
  <c r="W22" i="68" s="1"/>
  <c r="P21" i="68"/>
  <c r="U21" i="68" s="1"/>
  <c r="R21" i="68"/>
  <c r="W21" i="68" s="1"/>
  <c r="P20" i="68"/>
  <c r="U20" i="68" s="1"/>
  <c r="R20" i="68"/>
  <c r="W20" i="68" s="1"/>
  <c r="P19" i="68"/>
  <c r="U19" i="68" s="1"/>
  <c r="R19" i="68"/>
  <c r="W19" i="68" s="1"/>
  <c r="P18" i="68"/>
  <c r="U18" i="68" s="1"/>
  <c r="R18" i="68"/>
  <c r="W18" i="68" s="1"/>
  <c r="P17" i="68"/>
  <c r="U17" i="68" s="1"/>
  <c r="R17" i="68"/>
  <c r="W17" i="68" s="1"/>
  <c r="P16" i="68"/>
  <c r="U16" i="68" s="1"/>
  <c r="R16" i="68"/>
  <c r="P12" i="68"/>
  <c r="U12" i="68" s="1"/>
  <c r="I12" i="68"/>
  <c r="V10" i="68"/>
  <c r="W10" i="68" s="1"/>
  <c r="R28" i="68" l="1"/>
  <c r="M40" i="68"/>
  <c r="P40" i="68"/>
  <c r="T104" i="68"/>
  <c r="T106" i="68" s="1"/>
  <c r="U93" i="68"/>
  <c r="N104" i="68"/>
  <c r="N106" i="68" s="1"/>
  <c r="W37" i="68"/>
  <c r="W31" i="68"/>
  <c r="R32" i="68"/>
  <c r="W38" i="68"/>
  <c r="O104" i="68"/>
  <c r="O106" i="68" s="1"/>
  <c r="I106" i="68"/>
  <c r="R30" i="68"/>
  <c r="U40" i="68"/>
  <c r="R29" i="68"/>
  <c r="W36" i="68"/>
  <c r="E106" i="68"/>
  <c r="Q106" i="68"/>
  <c r="V12" i="68"/>
  <c r="V106" i="68" s="1"/>
  <c r="L104" i="68"/>
  <c r="L106" i="68" s="1"/>
  <c r="P106" i="68" s="1"/>
  <c r="W35" i="68"/>
  <c r="R39" i="68"/>
  <c r="S40" i="68"/>
  <c r="S104" i="68" s="1"/>
  <c r="S106" i="68" s="1"/>
  <c r="P101" i="68"/>
  <c r="U101" i="68" s="1"/>
  <c r="W16" i="68"/>
  <c r="W24" i="68" s="1"/>
  <c r="R24" i="68"/>
  <c r="W28" i="68"/>
  <c r="R33" i="68"/>
  <c r="N41" i="68"/>
  <c r="R101" i="68"/>
  <c r="W101" i="68" s="1"/>
  <c r="R12" i="68"/>
  <c r="R34" i="68"/>
  <c r="W12" i="68" l="1"/>
  <c r="P104" i="68"/>
  <c r="U104" i="68"/>
  <c r="U106" i="68" s="1"/>
  <c r="W40" i="68"/>
  <c r="W104" i="68" s="1"/>
  <c r="R40" i="68"/>
  <c r="R104" i="68" s="1"/>
  <c r="R106" i="68" s="1"/>
  <c r="M104" i="68"/>
  <c r="M106" i="68" s="1"/>
  <c r="W106" i="68" l="1"/>
  <c r="C31" i="48"/>
  <c r="D11" i="47"/>
  <c r="D24" i="10"/>
  <c r="D19" i="46"/>
  <c r="D11" i="46"/>
  <c r="F50" i="7" l="1"/>
  <c r="H57" i="15"/>
  <c r="H56" i="15"/>
  <c r="I55" i="15"/>
  <c r="G55" i="15"/>
  <c r="E55" i="15"/>
  <c r="I52" i="15"/>
  <c r="I48" i="15"/>
  <c r="H47" i="15"/>
  <c r="E42" i="15"/>
  <c r="H34" i="15"/>
  <c r="H10" i="15"/>
  <c r="H14" i="45"/>
  <c r="C20" i="44"/>
  <c r="E100" i="8"/>
  <c r="G100" i="8"/>
  <c r="H100" i="8"/>
  <c r="D100" i="8"/>
  <c r="G95" i="8"/>
  <c r="E95" i="8"/>
  <c r="D95" i="8"/>
  <c r="F94" i="8"/>
  <c r="F50" i="8"/>
  <c r="F49" i="8"/>
  <c r="E47" i="8"/>
  <c r="F39" i="8"/>
  <c r="F31" i="8"/>
  <c r="G31" i="8" s="1"/>
  <c r="F30" i="8"/>
  <c r="G30" i="8" s="1"/>
  <c r="E26" i="8"/>
  <c r="D26" i="8"/>
  <c r="E23" i="8"/>
  <c r="D23" i="8"/>
  <c r="H111" i="8"/>
  <c r="E111" i="8"/>
  <c r="D111" i="8"/>
  <c r="H14" i="42"/>
  <c r="D25" i="6"/>
  <c r="E25" i="6"/>
  <c r="C35" i="5"/>
  <c r="D22" i="5"/>
  <c r="D35" i="5"/>
  <c r="C22" i="5"/>
  <c r="F11" i="14"/>
  <c r="E22" i="5" l="1"/>
  <c r="E35" i="5"/>
  <c r="F38" i="8"/>
  <c r="G38" i="8" s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D35" i="48"/>
  <c r="E31" i="48"/>
  <c r="D30" i="48"/>
  <c r="C34" i="48"/>
  <c r="D42" i="47"/>
  <c r="D34" i="48" s="1"/>
  <c r="C43" i="47"/>
  <c r="D43" i="47"/>
  <c r="D39" i="47"/>
  <c r="C39" i="47"/>
  <c r="C30" i="49" s="1"/>
  <c r="D33" i="42"/>
  <c r="E43" i="42"/>
  <c r="E25" i="42"/>
  <c r="E33" i="42" s="1"/>
  <c r="I20" i="64"/>
  <c r="E44" i="64"/>
  <c r="E43" i="47" s="1"/>
  <c r="E35" i="48" s="1"/>
  <c r="E43" i="64"/>
  <c r="C30" i="48" l="1"/>
  <c r="E39" i="46"/>
  <c r="E39" i="47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R15" i="15"/>
  <c r="R16" i="15"/>
  <c r="R17" i="15"/>
  <c r="R18" i="15"/>
  <c r="R19" i="15"/>
  <c r="E60" i="15"/>
  <c r="F60" i="15"/>
  <c r="G60" i="15"/>
  <c r="H60" i="15"/>
  <c r="I60" i="15"/>
  <c r="N60" i="15"/>
  <c r="O60" i="15"/>
  <c r="D60" i="15"/>
  <c r="R52" i="15"/>
  <c r="R53" i="15"/>
  <c r="R54" i="15"/>
  <c r="R55" i="15"/>
  <c r="R56" i="15"/>
  <c r="R57" i="15"/>
  <c r="R58" i="15"/>
  <c r="R59" i="15"/>
  <c r="R28" i="15"/>
  <c r="E80" i="8"/>
  <c r="D80" i="8"/>
  <c r="D88" i="8" s="1"/>
  <c r="F75" i="8"/>
  <c r="G75" i="8" s="1"/>
  <c r="E70" i="8"/>
  <c r="D70" i="8"/>
  <c r="G70" i="8"/>
  <c r="F70" i="8"/>
  <c r="E30" i="48" l="1"/>
  <c r="E30" i="49"/>
  <c r="H70" i="8"/>
  <c r="F48" i="8" l="1"/>
  <c r="F37" i="8"/>
  <c r="G37" i="8" s="1"/>
  <c r="F36" i="8"/>
  <c r="H36" i="8" s="1"/>
  <c r="F23" i="8"/>
  <c r="D19" i="8"/>
  <c r="E19" i="8"/>
  <c r="D14" i="8"/>
  <c r="E14" i="8"/>
  <c r="E23" i="63"/>
  <c r="G23" i="63"/>
  <c r="H23" i="63"/>
  <c r="I23" i="63"/>
  <c r="J23" i="63"/>
  <c r="F23" i="63"/>
  <c r="G16" i="63"/>
  <c r="G17" i="63"/>
  <c r="G18" i="63"/>
  <c r="G19" i="63"/>
  <c r="G15" i="63"/>
  <c r="G48" i="8" l="1"/>
  <c r="G52" i="8" s="1"/>
  <c r="G23" i="8"/>
  <c r="E23" i="10"/>
  <c r="E16" i="10"/>
  <c r="F26" i="7"/>
  <c r="F46" i="7"/>
  <c r="F45" i="7"/>
  <c r="F29" i="7"/>
  <c r="F44" i="7"/>
  <c r="F43" i="7"/>
  <c r="F42" i="7"/>
  <c r="D31" i="5" l="1"/>
  <c r="C31" i="5"/>
  <c r="E28" i="47" l="1"/>
  <c r="E19" i="48" s="1"/>
  <c r="E28" i="46"/>
  <c r="D28" i="47"/>
  <c r="D19" i="48" s="1"/>
  <c r="D28" i="46"/>
  <c r="D62" i="5"/>
  <c r="C28" i="47"/>
  <c r="C19" i="48" s="1"/>
  <c r="C28" i="46"/>
  <c r="E62" i="5"/>
  <c r="C37" i="5"/>
  <c r="C13" i="46" s="1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F15" i="14" l="1"/>
  <c r="F19" i="7" l="1"/>
  <c r="F77" i="8" l="1"/>
  <c r="H77" i="8" s="1"/>
  <c r="E26" i="5" l="1"/>
  <c r="F35" i="8"/>
  <c r="E105" i="8"/>
  <c r="D105" i="8"/>
  <c r="G105" i="8"/>
  <c r="G27" i="64" s="1"/>
  <c r="G35" i="8" l="1"/>
  <c r="H14" i="8"/>
  <c r="R51" i="15"/>
  <c r="F63" i="8" l="1"/>
  <c r="G63" i="8" s="1"/>
  <c r="F17" i="8"/>
  <c r="G17" i="8" s="1"/>
  <c r="F34" i="8" l="1"/>
  <c r="G34" i="8" s="1"/>
  <c r="F33" i="8"/>
  <c r="G33" i="8" s="1"/>
  <c r="G108" i="8" l="1"/>
  <c r="G111" i="8" l="1"/>
  <c r="G20" i="46"/>
  <c r="F41" i="7" l="1"/>
  <c r="F40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G13" i="18"/>
  <c r="E12" i="18"/>
  <c r="F17" i="18"/>
  <c r="Q22" i="15"/>
  <c r="Q20" i="15"/>
  <c r="G27" i="63"/>
  <c r="F31" i="63"/>
  <c r="E31" i="63"/>
  <c r="F28" i="63"/>
  <c r="G22" i="63"/>
  <c r="F32" i="63" l="1"/>
  <c r="E28" i="63"/>
  <c r="P25" i="15"/>
  <c r="G13" i="63" l="1"/>
  <c r="G20" i="63"/>
  <c r="G26" i="63"/>
  <c r="G28" i="63" s="1"/>
  <c r="E32" i="63"/>
  <c r="C19" i="54" l="1"/>
  <c r="G10" i="46"/>
  <c r="G10" i="47" s="1"/>
  <c r="G11" i="46"/>
  <c r="H11" i="46"/>
  <c r="H12" i="46"/>
  <c r="G18" i="46"/>
  <c r="H18" i="46"/>
  <c r="G12" i="46"/>
  <c r="G12" i="47" s="1"/>
  <c r="R13" i="15"/>
  <c r="R10" i="15"/>
  <c r="R11" i="15"/>
  <c r="R12" i="15"/>
  <c r="R25" i="15"/>
  <c r="R49" i="15"/>
  <c r="F32" i="8"/>
  <c r="G32" i="8" s="1"/>
  <c r="F29" i="8"/>
  <c r="G29" i="8" s="1"/>
  <c r="F25" i="8"/>
  <c r="F26" i="8"/>
  <c r="G26" i="8" s="1"/>
  <c r="F27" i="8"/>
  <c r="G27" i="8" s="1"/>
  <c r="F28" i="8"/>
  <c r="H28" i="8" s="1"/>
  <c r="H42" i="8" s="1"/>
  <c r="H19" i="8"/>
  <c r="F14" i="8"/>
  <c r="F76" i="8"/>
  <c r="H76" i="8" s="1"/>
  <c r="H80" i="8" s="1"/>
  <c r="D25" i="10"/>
  <c r="D32" i="10" s="1"/>
  <c r="E28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D20" i="44"/>
  <c r="I14" i="64"/>
  <c r="I14" i="42"/>
  <c r="E34" i="48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G27" i="44"/>
  <c r="G33" i="44" s="1"/>
  <c r="C49" i="44" s="1"/>
  <c r="G33" i="64"/>
  <c r="E20" i="42"/>
  <c r="C11" i="5"/>
  <c r="E11" i="5" s="1"/>
  <c r="H27" i="45"/>
  <c r="H33" i="45" s="1"/>
  <c r="D49" i="45" s="1"/>
  <c r="I53" i="64"/>
  <c r="H53" i="64"/>
  <c r="G53" i="64"/>
  <c r="D32" i="64"/>
  <c r="D34" i="64" s="1"/>
  <c r="C32" i="64"/>
  <c r="C34" i="64" s="1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0" i="24"/>
  <c r="E43" i="24" s="1"/>
  <c r="D40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G31" i="46"/>
  <c r="Q24" i="15"/>
  <c r="Q21" i="15"/>
  <c r="R21" i="15" s="1"/>
  <c r="R20" i="15"/>
  <c r="Q14" i="15"/>
  <c r="P24" i="15"/>
  <c r="P60" i="15" s="1"/>
  <c r="Q23" i="15"/>
  <c r="R23" i="15" s="1"/>
  <c r="E30" i="13"/>
  <c r="K30" i="13" s="1"/>
  <c r="E29" i="13"/>
  <c r="K29" i="13" s="1"/>
  <c r="E28" i="13"/>
  <c r="K28" i="13" s="1"/>
  <c r="E11" i="13"/>
  <c r="K11" i="13" s="1"/>
  <c r="F24" i="7"/>
  <c r="E14" i="18"/>
  <c r="E17" i="18" s="1"/>
  <c r="H16" i="45" s="1"/>
  <c r="F13" i="18"/>
  <c r="F26" i="14"/>
  <c r="F18" i="7"/>
  <c r="R22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2" i="5"/>
  <c r="E33" i="5"/>
  <c r="E24" i="5"/>
  <c r="E61" i="8"/>
  <c r="F61" i="8" s="1"/>
  <c r="E46" i="8"/>
  <c r="E52" i="8" s="1"/>
  <c r="E21" i="10"/>
  <c r="F28" i="7"/>
  <c r="F27" i="7"/>
  <c r="H20" i="46"/>
  <c r="H20" i="47" s="1"/>
  <c r="H20" i="48" s="1"/>
  <c r="F84" i="8"/>
  <c r="H84" i="8" s="1"/>
  <c r="H10" i="46"/>
  <c r="H10" i="47" s="1"/>
  <c r="H10" i="48" s="1"/>
  <c r="E13" i="14"/>
  <c r="C17" i="47"/>
  <c r="C14" i="49" s="1"/>
  <c r="F13" i="6"/>
  <c r="F13" i="7"/>
  <c r="F14" i="7"/>
  <c r="K24" i="13"/>
  <c r="H23" i="13"/>
  <c r="K23" i="13" s="1"/>
  <c r="G22" i="13"/>
  <c r="K22" i="13" s="1"/>
  <c r="G19" i="13"/>
  <c r="K19" i="13" s="1"/>
  <c r="D18" i="10"/>
  <c r="F62" i="8"/>
  <c r="H62" i="8" s="1"/>
  <c r="G66" i="8"/>
  <c r="F109" i="8"/>
  <c r="F111" i="8" s="1"/>
  <c r="H27" i="42"/>
  <c r="H33" i="42" s="1"/>
  <c r="D49" i="42" s="1"/>
  <c r="F39" i="7"/>
  <c r="F38" i="7"/>
  <c r="G37" i="6"/>
  <c r="H37" i="6"/>
  <c r="I37" i="6"/>
  <c r="E21" i="6"/>
  <c r="D25" i="46" s="1"/>
  <c r="D25" i="47" s="1"/>
  <c r="D16" i="49" s="1"/>
  <c r="D21" i="6"/>
  <c r="C25" i="46" s="1"/>
  <c r="F21" i="6"/>
  <c r="E25" i="46" s="1"/>
  <c r="F14" i="6"/>
  <c r="E20" i="5"/>
  <c r="R48" i="15"/>
  <c r="R45" i="15"/>
  <c r="R41" i="15"/>
  <c r="R38" i="15"/>
  <c r="R33" i="15"/>
  <c r="R32" i="15"/>
  <c r="R29" i="15"/>
  <c r="R30" i="15"/>
  <c r="R26" i="15"/>
  <c r="R2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/>
  <c r="O41" i="24" s="1"/>
  <c r="C41" i="24" s="1"/>
  <c r="C42" i="24" s="1"/>
  <c r="O42" i="24" s="1"/>
  <c r="J20" i="45"/>
  <c r="F43" i="45"/>
  <c r="E43" i="51"/>
  <c r="E43" i="44"/>
  <c r="F93" i="8"/>
  <c r="H93" i="8" s="1"/>
  <c r="H95" i="8" s="1"/>
  <c r="D58" i="5"/>
  <c r="D59" i="5" s="1"/>
  <c r="C58" i="5"/>
  <c r="C14" i="42" s="1"/>
  <c r="C32" i="42" s="1"/>
  <c r="E19" i="5"/>
  <c r="G20" i="47"/>
  <c r="G20" i="48" s="1"/>
  <c r="C24" i="10"/>
  <c r="E30" i="10"/>
  <c r="G27" i="51"/>
  <c r="G33" i="51" s="1"/>
  <c r="R44" i="15"/>
  <c r="E22" i="10"/>
  <c r="E15" i="10"/>
  <c r="E14" i="10"/>
  <c r="D66" i="8"/>
  <c r="F37" i="7"/>
  <c r="F36" i="7"/>
  <c r="E29" i="6"/>
  <c r="F29" i="6"/>
  <c r="D48" i="5"/>
  <c r="C48" i="5"/>
  <c r="E13" i="5"/>
  <c r="E14" i="5"/>
  <c r="E17" i="5"/>
  <c r="E12" i="5"/>
  <c r="E29" i="5"/>
  <c r="E28" i="5"/>
  <c r="E25" i="5"/>
  <c r="D51" i="7"/>
  <c r="D54" i="7" s="1"/>
  <c r="F23" i="14"/>
  <c r="I71" i="56"/>
  <c r="H71" i="56"/>
  <c r="G71" i="56"/>
  <c r="F71" i="56"/>
  <c r="E71" i="56"/>
  <c r="E51" i="7"/>
  <c r="E54" i="7" s="1"/>
  <c r="M50" i="15" s="1"/>
  <c r="M60" i="15" s="1"/>
  <c r="F34" i="7"/>
  <c r="G57" i="8"/>
  <c r="E57" i="8"/>
  <c r="E85" i="8"/>
  <c r="F47" i="8"/>
  <c r="F33" i="7"/>
  <c r="F32" i="7"/>
  <c r="F31" i="7"/>
  <c r="D53" i="7"/>
  <c r="D85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47" i="15"/>
  <c r="R37" i="15"/>
  <c r="R31" i="15"/>
  <c r="R34" i="15"/>
  <c r="R43" i="15"/>
  <c r="R42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57" i="8"/>
  <c r="D57" i="8"/>
  <c r="H57" i="8"/>
  <c r="F74" i="8"/>
  <c r="F83" i="8"/>
  <c r="G85" i="8"/>
  <c r="F98" i="8"/>
  <c r="F100" i="8" s="1"/>
  <c r="H27" i="44"/>
  <c r="H33" i="44" s="1"/>
  <c r="D49" i="44" s="1"/>
  <c r="F15" i="7"/>
  <c r="F16" i="7"/>
  <c r="F17" i="7"/>
  <c r="F25" i="7"/>
  <c r="F30" i="7"/>
  <c r="F15" i="6"/>
  <c r="F24" i="6"/>
  <c r="F25" i="6" s="1"/>
  <c r="C14" i="46"/>
  <c r="F34" i="6"/>
  <c r="F35" i="6" s="1"/>
  <c r="D35" i="6"/>
  <c r="C29" i="47" s="1"/>
  <c r="E35" i="6"/>
  <c r="E10" i="5"/>
  <c r="D37" i="5"/>
  <c r="D13" i="46" s="1"/>
  <c r="E27" i="5"/>
  <c r="E53" i="5"/>
  <c r="E54" i="5"/>
  <c r="E55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I28" i="47"/>
  <c r="O36" i="24" s="1"/>
  <c r="C36" i="24" s="1"/>
  <c r="D40" i="47"/>
  <c r="E40" i="47" s="1"/>
  <c r="J12" i="45"/>
  <c r="G53" i="51"/>
  <c r="G27" i="42"/>
  <c r="G33" i="42" s="1"/>
  <c r="C49" i="42" s="1"/>
  <c r="D52" i="46"/>
  <c r="C52" i="46"/>
  <c r="F29" i="14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L12" i="47"/>
  <c r="L14" i="47"/>
  <c r="L30" i="47"/>
  <c r="K26" i="47"/>
  <c r="J26" i="47"/>
  <c r="D14" i="47"/>
  <c r="K23" i="47"/>
  <c r="J32" i="47"/>
  <c r="L26" i="47"/>
  <c r="L32" i="47"/>
  <c r="K32" i="47"/>
  <c r="L23" i="47"/>
  <c r="G24" i="44"/>
  <c r="G24" i="51"/>
  <c r="C48" i="51" s="1"/>
  <c r="I12" i="51"/>
  <c r="H24" i="64"/>
  <c r="H24" i="42"/>
  <c r="E24" i="10"/>
  <c r="F103" i="8"/>
  <c r="F105" i="8" s="1"/>
  <c r="I27" i="64" s="1"/>
  <c r="E89" i="58"/>
  <c r="F89" i="58"/>
  <c r="J13" i="45"/>
  <c r="F42" i="8" l="1"/>
  <c r="F21" i="7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E31" i="10"/>
  <c r="C29" i="46"/>
  <c r="E11" i="46"/>
  <c r="E11" i="47"/>
  <c r="C11" i="46"/>
  <c r="C11" i="47"/>
  <c r="C11" i="48" s="1"/>
  <c r="E42" i="47"/>
  <c r="Q60" i="15"/>
  <c r="G74" i="8"/>
  <c r="G80" i="8" s="1"/>
  <c r="G30" i="46" s="1"/>
  <c r="G30" i="47" s="1"/>
  <c r="F80" i="8"/>
  <c r="D48" i="64"/>
  <c r="C48" i="64"/>
  <c r="E34" i="64"/>
  <c r="E32" i="64"/>
  <c r="E29" i="47"/>
  <c r="D29" i="47"/>
  <c r="D19" i="49" s="1"/>
  <c r="C49" i="5"/>
  <c r="C14" i="44"/>
  <c r="C13" i="47" s="1"/>
  <c r="D49" i="5"/>
  <c r="D14" i="44"/>
  <c r="D32" i="44" s="1"/>
  <c r="D34" i="44" s="1"/>
  <c r="D48" i="44" s="1"/>
  <c r="D53" i="44" s="1"/>
  <c r="D54" i="44" s="1"/>
  <c r="C34" i="42"/>
  <c r="C48" i="42"/>
  <c r="D11" i="48"/>
  <c r="D43" i="5"/>
  <c r="C43" i="5"/>
  <c r="I24" i="42"/>
  <c r="I24" i="51"/>
  <c r="E48" i="51" s="1"/>
  <c r="H34" i="51"/>
  <c r="H54" i="51" s="1"/>
  <c r="F19" i="8"/>
  <c r="G25" i="8"/>
  <c r="G42" i="8" s="1"/>
  <c r="I20" i="46"/>
  <c r="H19" i="46"/>
  <c r="H19" i="47" s="1"/>
  <c r="H19" i="48" s="1"/>
  <c r="C25" i="10"/>
  <c r="E29" i="46"/>
  <c r="D29" i="46"/>
  <c r="D32" i="46" s="1"/>
  <c r="E31" i="6"/>
  <c r="E37" i="6" s="1"/>
  <c r="E40" i="6" s="1"/>
  <c r="E24" i="46"/>
  <c r="C32" i="46"/>
  <c r="F17" i="6"/>
  <c r="D31" i="6"/>
  <c r="D37" i="6" s="1"/>
  <c r="D40" i="6" s="1"/>
  <c r="F31" i="6"/>
  <c r="E31" i="5"/>
  <c r="E48" i="5"/>
  <c r="E49" i="5" s="1"/>
  <c r="H21" i="13"/>
  <c r="H40" i="13" s="1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I14" i="49"/>
  <c r="E25" i="47"/>
  <c r="E16" i="49" s="1"/>
  <c r="E49" i="47"/>
  <c r="E42" i="48" s="1"/>
  <c r="G16" i="46"/>
  <c r="G16" i="47" s="1"/>
  <c r="G16" i="48" s="1"/>
  <c r="J50" i="15"/>
  <c r="J60" i="15" s="1"/>
  <c r="F46" i="8"/>
  <c r="F52" i="8" s="1"/>
  <c r="G17" i="46"/>
  <c r="G17" i="47" s="1"/>
  <c r="G17" i="48" s="1"/>
  <c r="C12" i="48"/>
  <c r="E15" i="49"/>
  <c r="G37" i="48"/>
  <c r="G44" i="48" s="1"/>
  <c r="D52" i="47"/>
  <c r="R14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66" i="8"/>
  <c r="E88" i="8" s="1"/>
  <c r="H27" i="47"/>
  <c r="H13" i="49" s="1"/>
  <c r="H27" i="46"/>
  <c r="H103" i="8"/>
  <c r="H105" i="8" s="1"/>
  <c r="H27" i="64" s="1"/>
  <c r="G14" i="8"/>
  <c r="F92" i="8"/>
  <c r="G19" i="8"/>
  <c r="I27" i="44"/>
  <c r="I33" i="44" s="1"/>
  <c r="E49" i="44" s="1"/>
  <c r="G18" i="47"/>
  <c r="G18" i="48" s="1"/>
  <c r="I18" i="46"/>
  <c r="I18" i="47" s="1"/>
  <c r="H18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F51" i="7"/>
  <c r="F54" i="7" s="1"/>
  <c r="H17" i="46"/>
  <c r="H17" i="47" s="1"/>
  <c r="H17" i="48" s="1"/>
  <c r="H12" i="47"/>
  <c r="H12" i="48" s="1"/>
  <c r="I12" i="46"/>
  <c r="I10" i="46"/>
  <c r="E52" i="46"/>
  <c r="G32" i="63"/>
  <c r="H14" i="46"/>
  <c r="D14" i="42"/>
  <c r="D32" i="42" s="1"/>
  <c r="E58" i="5"/>
  <c r="E59" i="5" s="1"/>
  <c r="C59" i="5"/>
  <c r="E32" i="51"/>
  <c r="L50" i="15"/>
  <c r="L60" i="15" s="1"/>
  <c r="D56" i="7"/>
  <c r="G10" i="48"/>
  <c r="G29" i="47"/>
  <c r="G29" i="46"/>
  <c r="D61" i="5"/>
  <c r="F85" i="8"/>
  <c r="H83" i="8"/>
  <c r="H85" i="8" s="1"/>
  <c r="H30" i="46" s="1"/>
  <c r="H30" i="47" s="1"/>
  <c r="H16" i="49" s="1"/>
  <c r="I52" i="47"/>
  <c r="I37" i="48"/>
  <c r="I44" i="48" s="1"/>
  <c r="H61" i="8"/>
  <c r="H66" i="8" s="1"/>
  <c r="F66" i="8"/>
  <c r="G11" i="47"/>
  <c r="I11" i="46"/>
  <c r="H34" i="42"/>
  <c r="H54" i="42" s="1"/>
  <c r="H29" i="47"/>
  <c r="H15" i="49" s="1"/>
  <c r="H29" i="46"/>
  <c r="G14" i="46"/>
  <c r="R24" i="15"/>
  <c r="G31" i="47"/>
  <c r="G17" i="49" s="1"/>
  <c r="E18" i="10"/>
  <c r="D11" i="49"/>
  <c r="C49" i="51"/>
  <c r="G34" i="51"/>
  <c r="G54" i="51" s="1"/>
  <c r="E31" i="14"/>
  <c r="D16" i="46" s="1"/>
  <c r="F26" i="13"/>
  <c r="F40" i="13" s="1"/>
  <c r="D16" i="47" s="1"/>
  <c r="G12" i="48"/>
  <c r="D12" i="48"/>
  <c r="E19" i="46"/>
  <c r="C19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M43" i="24"/>
  <c r="G22" i="8"/>
  <c r="H11" i="47"/>
  <c r="F43" i="24"/>
  <c r="I18" i="48" l="1"/>
  <c r="O29" i="24"/>
  <c r="G48" i="46"/>
  <c r="H26" i="46"/>
  <c r="I27" i="45"/>
  <c r="J27" i="45" s="1"/>
  <c r="J33" i="45" s="1"/>
  <c r="F49" i="45" s="1"/>
  <c r="F95" i="8"/>
  <c r="F122" i="8" s="1"/>
  <c r="F37" i="6"/>
  <c r="F40" i="6" s="1"/>
  <c r="G88" i="8"/>
  <c r="E48" i="64"/>
  <c r="D64" i="5"/>
  <c r="C32" i="44"/>
  <c r="C34" i="44" s="1"/>
  <c r="E14" i="44"/>
  <c r="E32" i="44" s="1"/>
  <c r="E37" i="5"/>
  <c r="E13" i="46" s="1"/>
  <c r="D31" i="46"/>
  <c r="D33" i="46" s="1"/>
  <c r="D53" i="46" s="1"/>
  <c r="D34" i="42"/>
  <c r="E34" i="42" s="1"/>
  <c r="D48" i="42"/>
  <c r="D53" i="42" s="1"/>
  <c r="E11" i="48"/>
  <c r="E43" i="5"/>
  <c r="D14" i="48"/>
  <c r="E53" i="51"/>
  <c r="E54" i="51" s="1"/>
  <c r="F88" i="8"/>
  <c r="I19" i="47"/>
  <c r="I19" i="48" s="1"/>
  <c r="I19" i="46"/>
  <c r="C32" i="10"/>
  <c r="E25" i="10"/>
  <c r="E32" i="10" s="1"/>
  <c r="E32" i="46"/>
  <c r="K21" i="13"/>
  <c r="D13" i="47"/>
  <c r="D13" i="48" s="1"/>
  <c r="D14" i="49"/>
  <c r="D22" i="49" s="1"/>
  <c r="D23" i="49" s="1"/>
  <c r="O15" i="24"/>
  <c r="E14" i="49"/>
  <c r="D32" i="47"/>
  <c r="E52" i="47"/>
  <c r="O21" i="24" s="1"/>
  <c r="C21" i="24" s="1"/>
  <c r="E122" i="8"/>
  <c r="G23" i="46"/>
  <c r="O25" i="24"/>
  <c r="C25" i="24" s="1"/>
  <c r="G27" i="47"/>
  <c r="H33" i="64"/>
  <c r="I34" i="44"/>
  <c r="I54" i="44" s="1"/>
  <c r="C53" i="42"/>
  <c r="C54" i="42" s="1"/>
  <c r="I34" i="42"/>
  <c r="I54" i="42" s="1"/>
  <c r="I29" i="46"/>
  <c r="I34" i="51"/>
  <c r="I54" i="51" s="1"/>
  <c r="G40" i="13"/>
  <c r="I17" i="46"/>
  <c r="I17" i="47" s="1"/>
  <c r="I17" i="48" s="1"/>
  <c r="I12" i="47"/>
  <c r="O27" i="24" s="1"/>
  <c r="C27" i="24" s="1"/>
  <c r="H24" i="45"/>
  <c r="H34" i="45" s="1"/>
  <c r="H54" i="45" s="1"/>
  <c r="J16" i="45"/>
  <c r="J24" i="45" s="1"/>
  <c r="H14" i="47"/>
  <c r="H14" i="48" s="1"/>
  <c r="E14" i="42"/>
  <c r="E32" i="42" s="1"/>
  <c r="E48" i="42" s="1"/>
  <c r="E53" i="42" s="1"/>
  <c r="C16" i="48"/>
  <c r="E19" i="47"/>
  <c r="C53" i="51"/>
  <c r="C54" i="51" s="1"/>
  <c r="C32" i="47"/>
  <c r="E14" i="47"/>
  <c r="C11" i="49"/>
  <c r="C22" i="49" s="1"/>
  <c r="C23" i="49" s="1"/>
  <c r="C16" i="46"/>
  <c r="F31" i="14"/>
  <c r="E16" i="46" s="1"/>
  <c r="I30" i="47"/>
  <c r="G16" i="49"/>
  <c r="H122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C17" i="24" s="1"/>
  <c r="E19" i="49"/>
  <c r="F53" i="7"/>
  <c r="F56" i="7" s="1"/>
  <c r="I16" i="46"/>
  <c r="I16" i="47" s="1"/>
  <c r="I30" i="46"/>
  <c r="H88" i="8"/>
  <c r="I31" i="46"/>
  <c r="I31" i="47"/>
  <c r="C61" i="5"/>
  <c r="C64" i="5"/>
  <c r="C13" i="48"/>
  <c r="D22" i="48" l="1"/>
  <c r="D24" i="48" s="1"/>
  <c r="G26" i="46"/>
  <c r="I26" i="46" s="1"/>
  <c r="I33" i="45"/>
  <c r="I34" i="45" s="1"/>
  <c r="I54" i="45" s="1"/>
  <c r="E54" i="42"/>
  <c r="D54" i="42"/>
  <c r="O8" i="24"/>
  <c r="C8" i="24" s="1"/>
  <c r="E61" i="5"/>
  <c r="E31" i="46"/>
  <c r="E34" i="44"/>
  <c r="E48" i="44" s="1"/>
  <c r="E53" i="44" s="1"/>
  <c r="E54" i="44" s="1"/>
  <c r="C48" i="44"/>
  <c r="C53" i="44" s="1"/>
  <c r="C54" i="44" s="1"/>
  <c r="D31" i="47"/>
  <c r="D33" i="47" s="1"/>
  <c r="D53" i="47" s="1"/>
  <c r="O32" i="24"/>
  <c r="C32" i="24" s="1"/>
  <c r="E64" i="5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22" i="8"/>
  <c r="H32" i="46"/>
  <c r="J34" i="45"/>
  <c r="J54" i="45" s="1"/>
  <c r="E13" i="47"/>
  <c r="E13" i="48" s="1"/>
  <c r="K40" i="13"/>
  <c r="O31" i="24"/>
  <c r="C31" i="24" s="1"/>
  <c r="I12" i="48"/>
  <c r="F48" i="45"/>
  <c r="F53" i="45" s="1"/>
  <c r="F54" i="45" s="1"/>
  <c r="D48" i="45"/>
  <c r="D53" i="45" s="1"/>
  <c r="D54" i="45" s="1"/>
  <c r="I14" i="47"/>
  <c r="G22" i="48"/>
  <c r="G24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O26" i="24"/>
  <c r="C26" i="24" s="1"/>
  <c r="I11" i="48"/>
  <c r="O11" i="24"/>
  <c r="C11" i="24" s="1"/>
  <c r="E16" i="48"/>
  <c r="E32" i="47"/>
  <c r="E11" i="49"/>
  <c r="E22" i="49" s="1"/>
  <c r="E23" i="49" s="1"/>
  <c r="I23" i="46"/>
  <c r="H34" i="64"/>
  <c r="H54" i="64" s="1"/>
  <c r="D49" i="64"/>
  <c r="D53" i="64" s="1"/>
  <c r="D54" i="64" s="1"/>
  <c r="I16" i="48"/>
  <c r="O30" i="24"/>
  <c r="C19" i="24"/>
  <c r="O19" i="24"/>
  <c r="I14" i="48" l="1"/>
  <c r="O28" i="24"/>
  <c r="C28" i="24" s="1"/>
  <c r="G45" i="48"/>
  <c r="E49" i="45"/>
  <c r="E53" i="45" s="1"/>
  <c r="E54" i="45" s="1"/>
  <c r="G26" i="47"/>
  <c r="G12" i="49" s="1"/>
  <c r="G18" i="49" s="1"/>
  <c r="G23" i="49" s="1"/>
  <c r="I32" i="46"/>
  <c r="I33" i="46" s="1"/>
  <c r="O9" i="24"/>
  <c r="C9" i="24" s="1"/>
  <c r="G32" i="46"/>
  <c r="G33" i="46" s="1"/>
  <c r="C35" i="46" s="1"/>
  <c r="E49" i="64"/>
  <c r="E53" i="64" s="1"/>
  <c r="E54" i="64" s="1"/>
  <c r="H32" i="47"/>
  <c r="G47" i="46"/>
  <c r="G52" i="46" s="1"/>
  <c r="I23" i="47"/>
  <c r="E16" i="47"/>
  <c r="E31" i="47" s="1"/>
  <c r="C14" i="48"/>
  <c r="C22" i="48" s="1"/>
  <c r="C24" i="48" s="1"/>
  <c r="C26" i="48" s="1"/>
  <c r="C33" i="47"/>
  <c r="H42" i="49"/>
  <c r="D25" i="49"/>
  <c r="C53" i="46"/>
  <c r="E33" i="46"/>
  <c r="I22" i="48"/>
  <c r="I24" i="48" s="1"/>
  <c r="I45" i="48" l="1"/>
  <c r="H48" i="46"/>
  <c r="H52" i="46" s="1"/>
  <c r="G32" i="47"/>
  <c r="G33" i="47" s="1"/>
  <c r="G53" i="47" s="1"/>
  <c r="I26" i="47"/>
  <c r="O34" i="24" s="1"/>
  <c r="D33" i="49"/>
  <c r="D36" i="48" s="1"/>
  <c r="D44" i="48" s="1"/>
  <c r="D45" i="48" s="1"/>
  <c r="G53" i="46"/>
  <c r="I48" i="46"/>
  <c r="E35" i="46"/>
  <c r="I47" i="46"/>
  <c r="C33" i="24"/>
  <c r="O33" i="24"/>
  <c r="C53" i="47"/>
  <c r="E33" i="47"/>
  <c r="E53" i="47" s="1"/>
  <c r="G42" i="49"/>
  <c r="C25" i="49"/>
  <c r="E53" i="46"/>
  <c r="E14" i="48"/>
  <c r="E22" i="48" s="1"/>
  <c r="E24" i="48" s="1"/>
  <c r="E26" i="48" s="1"/>
  <c r="O10" i="24"/>
  <c r="I12" i="49" l="1"/>
  <c r="I18" i="49" s="1"/>
  <c r="I23" i="49" s="1"/>
  <c r="E25" i="49" s="1"/>
  <c r="C35" i="47"/>
  <c r="I32" i="47"/>
  <c r="I33" i="47" s="1"/>
  <c r="E35" i="47" s="1"/>
  <c r="D41" i="49"/>
  <c r="D42" i="49" s="1"/>
  <c r="C33" i="49"/>
  <c r="C36" i="48" s="1"/>
  <c r="I52" i="46"/>
  <c r="I53" i="46" s="1"/>
  <c r="C10" i="24"/>
  <c r="O14" i="24"/>
  <c r="O22" i="24" s="1"/>
  <c r="O40" i="24"/>
  <c r="C34" i="24"/>
  <c r="C14" i="24" l="1"/>
  <c r="C22" i="24" s="1"/>
  <c r="C40" i="24"/>
  <c r="C43" i="24" s="1"/>
  <c r="O43" i="24" s="1"/>
  <c r="I42" i="49"/>
  <c r="I53" i="47"/>
  <c r="E55" i="47" s="1"/>
  <c r="E33" i="49"/>
  <c r="E36" i="48" s="1"/>
  <c r="E41" i="49" l="1"/>
  <c r="E42" i="49" s="1"/>
  <c r="C41" i="49"/>
  <c r="C42" i="49" s="1"/>
  <c r="E44" i="48" l="1"/>
  <c r="E45" i="48" s="1"/>
  <c r="C44" i="48"/>
  <c r="C45" i="48" s="1"/>
  <c r="E53" i="7" l="1"/>
  <c r="E56" i="7" s="1"/>
  <c r="H16" i="46"/>
  <c r="H16" i="47" s="1"/>
  <c r="K50" i="15" l="1"/>
  <c r="H16" i="48"/>
  <c r="H22" i="48" s="1"/>
  <c r="H24" i="48" s="1"/>
  <c r="H23" i="47"/>
  <c r="H33" i="47" s="1"/>
  <c r="H23" i="46"/>
  <c r="H33" i="46" s="1"/>
  <c r="H45" i="48" l="1"/>
  <c r="D26" i="48"/>
  <c r="R50" i="15"/>
  <c r="R60" i="15" s="1"/>
  <c r="K60" i="15"/>
  <c r="H53" i="46"/>
  <c r="D35" i="46"/>
  <c r="D35" i="47"/>
  <c r="H53" i="47"/>
  <c r="D122" i="8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<sst xmlns="http://schemas.openxmlformats.org/spreadsheetml/2006/main" count="2886" uniqueCount="1252">
  <si>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</si>
  <si>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</si>
  <si>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</si>
  <si>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</si>
  <si>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</si>
  <si>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</si>
  <si>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</si>
  <si>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</si>
  <si>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</si>
  <si>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</si>
  <si>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</si>
  <si>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</si>
  <si>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</si>
  <si>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</si>
  <si>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</si>
  <si>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</si>
  <si>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</si>
  <si>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</si>
  <si>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</si>
  <si>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</si>
  <si>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</si>
  <si>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</si>
  <si>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</si>
  <si>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</si>
  <si>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</si>
  <si>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</si>
  <si>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</si>
  <si>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</si>
  <si>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</si>
  <si>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</si>
  <si>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</si>
  <si>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</si>
  <si>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</si>
  <si>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</si>
  <si>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</si>
  <si>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</si>
  <si>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</si>
  <si>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</si>
  <si>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</si>
  <si>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</si>
  <si>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</si>
  <si>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</si>
  <si>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</si>
  <si>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</si>
  <si>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</si>
  <si>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</si>
  <si>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</si>
  <si>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</si>
  <si>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</si>
  <si>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</si>
  <si>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</si>
  <si>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</si>
  <si>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</si>
  <si>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</si>
  <si>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</si>
  <si>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</si>
  <si>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</si>
  <si>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</si>
  <si>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</si>
  <si>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</si>
  <si>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</si>
  <si>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</si>
  <si>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</si>
  <si>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</si>
  <si>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</si>
  <si>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</si>
  <si>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</si>
  <si>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</si>
  <si>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</si>
  <si>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</si>
  <si>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</si>
  <si>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</si>
  <si>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</si>
  <si>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</si>
  <si>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</si>
  <si>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</si>
  <si>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</si>
  <si>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</si>
  <si>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</si>
  <si>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</si>
  <si>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</si>
  <si>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</si>
  <si>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</si>
  <si>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</si>
  <si>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</si>
  <si>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</si>
  <si>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</si>
  <si>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</si>
  <si>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</si>
  <si>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</si>
  <si>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</si>
  <si>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</si>
  <si>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</si>
  <si>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</si>
  <si>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</si>
  <si>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</si>
  <si>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</si>
  <si>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</si>
  <si>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</si>
  <si>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</si>
  <si>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</si>
  <si>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</si>
  <si>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</si>
  <si>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</si>
  <si>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</si>
  <si>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</si>
  <si>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</si>
  <si>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</si>
  <si>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</si>
  <si>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</si>
  <si>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</si>
  <si>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</si>
  <si>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</si>
  <si>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</si>
  <si>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</si>
  <si>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</si>
  <si>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</si>
  <si>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</si>
  <si>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</si>
  <si>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</si>
  <si>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</si>
  <si>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</si>
  <si>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</si>
  <si>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</si>
  <si>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</si>
  <si>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</si>
  <si>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</si>
  <si>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</si>
  <si>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</si>
  <si>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</si>
  <si>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</si>
  <si>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</si>
  <si>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</si>
  <si>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</si>
  <si>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</si>
  <si>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</si>
  <si>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</si>
  <si>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</si>
  <si>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</si>
  <si>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</si>
  <si>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</si>
  <si>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</si>
  <si>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</si>
  <si>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</si>
  <si>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</si>
  <si>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</si>
  <si>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</si>
  <si>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</si>
  <si>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</si>
  <si>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</si>
  <si>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</si>
  <si>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</si>
  <si>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</si>
  <si>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</si>
  <si>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</si>
  <si>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</si>
  <si>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</si>
  <si>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</si>
  <si>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</si>
  <si>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</si>
  <si>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</si>
  <si>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</si>
  <si>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</si>
  <si>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</si>
  <si>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</si>
  <si>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</si>
  <si>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</si>
  <si>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</si>
  <si>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</si>
  <si>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</si>
  <si>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</si>
  <si>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</si>
  <si>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</si>
  <si>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</si>
  <si>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</si>
  <si>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</si>
  <si>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</si>
  <si>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</si>
  <si>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</si>
  <si>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</si>
  <si>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</si>
  <si>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</si>
  <si>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</si>
  <si>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</si>
  <si>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</si>
  <si>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</si>
  <si>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</si>
  <si>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</si>
  <si>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</si>
  <si>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</si>
  <si>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</si>
  <si>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</si>
  <si>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</si>
  <si>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</si>
  <si>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</si>
  <si>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</si>
  <si>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</si>
  <si>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</si>
  <si>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</si>
  <si>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</si>
  <si>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</si>
  <si>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</si>
  <si>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</si>
  <si>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</si>
  <si>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</si>
  <si>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</si>
  <si>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</si>
  <si>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</si>
  <si>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</si>
  <si>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</si>
  <si>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</si>
  <si>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</si>
  <si>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</si>
  <si>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</si>
  <si>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</si>
  <si>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</si>
  <si>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</si>
  <si>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</si>
  <si>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</si>
  <si>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</si>
  <si>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</si>
  <si>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</si>
  <si>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</si>
  <si>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</si>
  <si>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</si>
  <si>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</si>
  <si>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</si>
  <si>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</si>
  <si>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</si>
  <si>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</si>
  <si>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</si>
  <si>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</si>
  <si>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</si>
  <si>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</si>
  <si>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</si>
  <si>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</si>
  <si>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</si>
  <si>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</si>
  <si>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</si>
  <si>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</si>
  <si>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</si>
  <si>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</si>
  <si>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</si>
  <si>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</si>
  <si>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</si>
  <si>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</si>
  <si>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</si>
  <si>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</si>
  <si>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</si>
  <si>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</si>
  <si>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</si>
  <si>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</si>
  <si>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</si>
  <si>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</si>
  <si>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</si>
  <si>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</si>
  <si>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</si>
  <si>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</si>
  <si>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</si>
  <si>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</si>
  <si>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</si>
  <si>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</si>
  <si>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</si>
  <si>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</si>
  <si>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</si>
  <si>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</si>
  <si>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</si>
  <si>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</si>
  <si>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</si>
  <si>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</si>
  <si>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</si>
  <si>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</si>
  <si>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</si>
  <si>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</si>
  <si>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</si>
  <si>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</si>
  <si>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</si>
  <si>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</si>
  <si>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</si>
  <si>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</si>
  <si>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</si>
  <si>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</si>
  <si>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</si>
  <si>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</si>
  <si>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</si>
  <si>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</si>
  <si>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</si>
  <si>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</si>
  <si>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</si>
  <si>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</si>
  <si>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</si>
  <si>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</si>
  <si>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</si>
  <si>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</si>
  <si>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</si>
  <si>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</si>
  <si>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</si>
  <si>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</si>
  <si>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</si>
  <si>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</si>
  <si>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</si>
  <si>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</si>
  <si>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</si>
  <si>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</si>
  <si>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</si>
  <si>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</si>
  <si>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</si>
  <si>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</si>
  <si>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</si>
  <si>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</si>
  <si>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</si>
  <si>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</si>
  <si>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</si>
  <si>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</si>
  <si>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</si>
  <si>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</si>
  <si>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</si>
  <si>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</si>
  <si>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</si>
  <si>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</si>
  <si>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</si>
  <si>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</si>
  <si>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</si>
  <si>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</si>
  <si>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</si>
  <si>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</si>
  <si>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</si>
  <si>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</si>
  <si>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</si>
  <si>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</si>
  <si>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</si>
  <si>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</si>
  <si>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</si>
  <si>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</si>
  <si>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</si>
  <si>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</si>
  <si>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</si>
  <si>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</si>
  <si>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</si>
  <si>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</si>
  <si>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</si>
  <si>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</si>
  <si>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</si>
  <si>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</si>
  <si>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</si>
  <si>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</si>
  <si>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</si>
  <si>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</si>
  <si>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</si>
  <si>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</si>
  <si>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</si>
  <si>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</si>
  <si>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</si>
  <si>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</si>
  <si>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</si>
  <si>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</si>
  <si>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</si>
  <si>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</si>
  <si>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</si>
  <si>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</si>
  <si>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</si>
  <si>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</si>
  <si>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</si>
  <si>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</si>
  <si>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</si>
  <si>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</si>
  <si>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</si>
  <si>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</si>
  <si>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</si>
  <si>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</si>
  <si>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</si>
  <si>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</si>
  <si>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</si>
  <si>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</si>
  <si>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</si>
  <si>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</si>
  <si>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</si>
  <si>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</si>
  <si>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</si>
  <si>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</si>
  <si>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</si>
  <si>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</si>
  <si>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</si>
  <si>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</si>
  <si>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</si>
  <si>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</si>
  <si>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</si>
  <si>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</si>
  <si>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</si>
  <si>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</si>
  <si>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</si>
  <si>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</si>
  <si>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</si>
  <si>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</si>
  <si>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</si>
  <si>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</si>
  <si>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</si>
  <si>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</si>
  <si>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</si>
  <si>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</si>
  <si>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</si>
  <si>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</si>
  <si>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</si>
  <si>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</si>
  <si>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</si>
  <si>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</si>
  <si>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</si>
  <si>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</si>
  <si>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</si>
  <si>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</si>
  <si>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</si>
  <si>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</si>
  <si>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</si>
  <si>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</si>
  <si>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</si>
  <si>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</si>
  <si>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</si>
  <si>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</si>
  <si>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</si>
  <si>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</si>
  <si>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</si>
  <si>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</si>
  <si>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</si>
  <si>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</si>
  <si>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</si>
  <si>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</si>
  <si>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</si>
  <si>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</si>
  <si>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</si>
  <si>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</si>
  <si>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</si>
  <si>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</si>
  <si>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</si>
  <si>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</si>
  <si>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</si>
  <si>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</si>
  <si>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</si>
  <si>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</si>
  <si>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</si>
  <si>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</si>
  <si>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</si>
  <si>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</si>
  <si>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</si>
  <si>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</si>
  <si>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</si>
  <si>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</si>
  <si>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</si>
  <si>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</si>
  <si>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</si>
  <si>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</si>
  <si>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</si>
  <si>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</si>
  <si>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</si>
  <si>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</si>
  <si>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</si>
  <si>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</si>
  <si>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</si>
  <si>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</si>
  <si>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</si>
  <si>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</si>
  <si>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</si>
  <si>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</si>
  <si>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</si>
  <si>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</si>
  <si>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</si>
  <si>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</si>
  <si>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</si>
  <si>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</si>
  <si>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</si>
  <si>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</si>
  <si>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</si>
  <si>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</si>
  <si>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</si>
  <si>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</si>
  <si>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</si>
  <si>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</si>
  <si>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</si>
  <si>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</si>
  <si>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</si>
  <si>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</si>
  <si>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</si>
  <si>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</si>
  <si>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</si>
  <si>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</si>
  <si>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</si>
  <si>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</si>
  <si>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</si>
  <si>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</si>
  <si>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</si>
  <si>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</si>
  <si>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</si>
  <si>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</si>
  <si>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</si>
  <si>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</si>
  <si>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</si>
  <si>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</si>
  <si>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</si>
  <si>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</si>
  <si>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</si>
  <si>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</si>
  <si>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</si>
  <si>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</si>
  <si>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</si>
  <si>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</si>
  <si>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</si>
  <si>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</si>
  <si>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</si>
  <si>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</si>
  <si>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</si>
  <si>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</si>
  <si>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</si>
  <si>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</si>
  <si>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</si>
  <si>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</si>
  <si>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</si>
  <si>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</si>
  <si>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</si>
  <si>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</si>
  <si>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</si>
  <si>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</si>
  <si>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</si>
  <si>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</si>
  <si>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</si>
  <si>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</si>
  <si>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</si>
  <si>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</si>
  <si>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</si>
  <si>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</si>
  <si>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</si>
  <si>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</si>
  <si>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</si>
  <si>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</si>
  <si>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</si>
  <si>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</si>
  <si>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</si>
  <si>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</si>
  <si>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</si>
  <si>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</si>
  <si>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</si>
  <si>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</si>
  <si>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</si>
  <si>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</si>
  <si>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</si>
  <si>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</si>
  <si>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</si>
  <si>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</si>
  <si>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</si>
  <si>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</si>
  <si>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</si>
  <si>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</si>
  <si>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</si>
  <si>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</si>
  <si>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</si>
  <si>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</si>
  <si>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</si>
  <si>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</si>
  <si>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</si>
  <si>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</si>
  <si>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</si>
  <si>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</si>
  <si>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</si>
  <si>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</si>
  <si>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</si>
  <si>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</si>
  <si>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</si>
  <si>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</si>
  <si>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</si>
  <si>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</si>
  <si>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</si>
  <si>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</si>
  <si>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</si>
  <si>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</si>
  <si>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</si>
  <si>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</si>
  <si>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</si>
  <si>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</si>
  <si>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</si>
  <si>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</si>
  <si>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</si>
  <si>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</si>
  <si>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</si>
  <si>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</si>
  <si>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</si>
  <si>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</si>
  <si>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</si>
  <si>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</si>
  <si>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</si>
  <si>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</si>
  <si>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</si>
  <si>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</si>
  <si>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</si>
  <si>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</si>
  <si>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</si>
  <si>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</si>
  <si>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</si>
  <si>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</si>
  <si>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</si>
  <si>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</si>
  <si>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</si>
  <si>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</si>
  <si>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</si>
  <si>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</si>
  <si>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</si>
  <si>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</si>
  <si>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</si>
  <si>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</si>
  <si>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</si>
  <si>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</si>
  <si>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</si>
  <si>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</si>
  <si>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</si>
  <si>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</si>
  <si>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</si>
  <si>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</si>
  <si>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</si>
  <si>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</si>
  <si>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</si>
  <si>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</si>
  <si>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</si>
  <si>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</si>
  <si>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</si>
  <si>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</si>
  <si>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</si>
  <si>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</si>
  <si>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</si>
  <si>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</si>
  <si>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</si>
  <si>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</si>
  <si>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</si>
  <si>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</si>
  <si>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</si>
  <si>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</si>
  <si>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</si>
  <si>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</si>
  <si>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</si>
  <si>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</si>
  <si>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</si>
  <si>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</si>
  <si>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</si>
  <si>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</si>
  <si>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</si>
  <si>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</si>
  <si>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</si>
  <si>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</si>
  <si>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</si>
  <si>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</si>
  <si>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</si>
  <si>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</si>
  <si>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</si>
  <si>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</si>
  <si>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</si>
  <si>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</si>
  <si>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</si>
  <si>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</si>
  <si>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</si>
  <si>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</si>
  <si>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</si>
  <si>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</si>
  <si>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</si>
  <si>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</si>
  <si>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</si>
  <si>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</si>
  <si>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</si>
  <si>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</si>
  <si>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</si>
  <si>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</si>
  <si>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</si>
  <si>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</si>
  <si>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</si>
  <si>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</si>
  <si>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</si>
  <si>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</si>
  <si>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</si>
  <si>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</si>
  <si>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</si>
  <si>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</si>
  <si>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</si>
  <si>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</si>
  <si>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</si>
  <si>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</si>
  <si>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</si>
  <si>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</si>
  <si>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</si>
  <si>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</si>
  <si>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</si>
  <si>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</si>
  <si>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</si>
  <si>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</si>
  <si>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</si>
  <si>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</si>
  <si>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</si>
  <si>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</si>
  <si>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</si>
  <si>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</si>
  <si>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</si>
  <si>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</si>
  <si>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</si>
  <si>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</si>
  <si>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</si>
  <si>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</si>
  <si>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</si>
  <si>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</si>
  <si>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</si>
  <si>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</si>
  <si>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</si>
  <si>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</si>
  <si>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</si>
  <si>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</si>
  <si>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</si>
  <si>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</si>
  <si>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</si>
  <si>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</si>
  <si>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</si>
  <si>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</si>
  <si>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</si>
  <si>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</si>
  <si>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</si>
  <si>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</si>
  <si>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</si>
  <si>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</si>
  <si>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</si>
  <si>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</si>
  <si>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</si>
  <si>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</si>
  <si>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</si>
  <si>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</si>
  <si>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</si>
  <si>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</si>
  <si>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</si>
  <si>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</si>
  <si>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</si>
  <si>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</si>
  <si>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</si>
  <si>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</si>
  <si>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</si>
  <si>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</si>
  <si>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</si>
  <si>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</si>
  <si>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</si>
  <si>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</si>
  <si>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</si>
  <si>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</si>
  <si>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</si>
  <si>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</si>
  <si>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</si>
  <si>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</si>
  <si>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</si>
  <si>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</si>
  <si>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</si>
  <si>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</si>
  <si>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</si>
  <si>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</si>
  <si>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</si>
  <si>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</si>
  <si>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</si>
  <si>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</si>
  <si>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</si>
  <si>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</si>
  <si>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</si>
  <si>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</si>
  <si>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</si>
  <si>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</si>
  <si>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</si>
  <si>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</si>
  <si>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</si>
  <si>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</si>
  <si>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</si>
  <si>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</si>
  <si>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</si>
  <si>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</si>
  <si>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</si>
  <si>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</si>
  <si>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</si>
  <si>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</si>
  <si>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</si>
  <si>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</si>
  <si>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</si>
  <si>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</si>
  <si>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</si>
  <si>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</si>
  <si>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</si>
  <si>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</si>
  <si>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</si>
  <si>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</si>
  <si>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</si>
  <si>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</si>
  <si>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</si>
  <si>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</si>
  <si>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</si>
  <si>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</si>
  <si>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</si>
  <si>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</si>
  <si>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</si>
  <si>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</si>
  <si>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</si>
  <si>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</si>
  <si>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</si>
  <si>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</si>
  <si>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</si>
  <si>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</si>
  <si>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</si>
  <si>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</si>
  <si>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</si>
  <si>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</si>
  <si>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</si>
  <si>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</si>
  <si>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</si>
  <si>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</si>
  <si>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</si>
  <si>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</si>
  <si>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</si>
  <si>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</si>
  <si>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</si>
  <si>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</si>
  <si>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</si>
  <si>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</si>
  <si>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</si>
  <si>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</si>
  <si>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</si>
  <si>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</si>
  <si>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</si>
  <si>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</si>
  <si>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</si>
  <si>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</si>
  <si>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</si>
  <si>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</si>
  <si>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</si>
  <si>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</si>
  <si>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</si>
  <si>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</si>
  <si>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</si>
  <si>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</si>
  <si>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</si>
  <si>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</si>
  <si>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</si>
  <si>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</si>
  <si>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</si>
  <si>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</si>
  <si>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</si>
  <si>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</si>
  <si>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</si>
  <si>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</si>
  <si>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</si>
  <si>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</si>
  <si>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</si>
  <si>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</si>
  <si>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</si>
  <si>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</si>
  <si>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</si>
  <si>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</si>
  <si>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</si>
  <si>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</si>
  <si>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</si>
  <si>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</si>
  <si>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</si>
  <si>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</si>
  <si>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</si>
  <si>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</si>
  <si>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</si>
  <si>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</si>
  <si>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</si>
  <si>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</si>
  <si>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</si>
  <si>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</si>
  <si>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</si>
  <si>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</si>
  <si>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</si>
  <si>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</si>
  <si>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</si>
  <si>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</si>
  <si>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</si>
  <si>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</si>
  <si>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</si>
  <si>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</si>
  <si>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</si>
  <si>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</si>
  <si>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</si>
  <si>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</si>
  <si>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</si>
  <si>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</si>
  <si>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</si>
  <si>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</si>
  <si>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</si>
  <si>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</si>
  <si>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</si>
  <si>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</si>
  <si>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</si>
  <si>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</si>
  <si>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</si>
  <si>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</si>
  <si>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</si>
  <si>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</si>
  <si>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</si>
  <si>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</si>
  <si>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</si>
  <si>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</si>
  <si>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</si>
  <si>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</si>
  <si>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</si>
  <si>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</si>
  <si>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</si>
  <si>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</si>
  <si>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</si>
  <si>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</si>
  <si>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</si>
  <si>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</si>
  <si>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</si>
  <si>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</si>
  <si>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</si>
  <si>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</si>
  <si>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</si>
  <si>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</si>
  <si>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</si>
  <si>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</si>
  <si>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</si>
  <si>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</si>
  <si>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</si>
  <si>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</si>
  <si>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</si>
  <si>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</si>
  <si>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</si>
  <si>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</si>
  <si>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</si>
  <si>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</si>
  <si>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</si>
  <si>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</si>
  <si>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</si>
  <si>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</si>
  <si>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</si>
  <si>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</si>
  <si>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</si>
  <si>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</si>
  <si>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</si>
  <si>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</si>
  <si>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</si>
  <si>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</si>
  <si>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</si>
  <si>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</si>
  <si>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</si>
  <si>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</si>
  <si>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</si>
  <si>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</si>
  <si>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</si>
  <si>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</si>
  <si>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</si>
  <si>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</si>
  <si>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</si>
  <si>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</si>
  <si>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</si>
  <si>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</si>
  <si>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</si>
  <si>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</si>
  <si>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</si>
  <si>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</si>
  <si>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 xml:space="preserve">  .../2017. (……..) önkormányzati rendelet 5. melléklete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</si>
  <si>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</si>
  <si>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</si>
  <si>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</si>
  <si>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</si>
  <si>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</si>
  <si>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</si>
  <si>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</si>
  <si>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</si>
  <si>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</si>
  <si>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</si>
  <si>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</si>
  <si>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</si>
  <si>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</si>
  <si>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</si>
  <si>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</si>
  <si>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</si>
  <si>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</si>
  <si>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</si>
  <si>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</si>
  <si>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</si>
  <si>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</si>
  <si>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</si>
  <si>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</si>
  <si>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</si>
  <si>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</si>
  <si>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</si>
  <si>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</si>
  <si>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</si>
  <si>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</si>
  <si>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</si>
  <si>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</si>
  <si>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</si>
  <si>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</si>
  <si>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</si>
  <si>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</si>
  <si>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</si>
  <si>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</si>
  <si>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</si>
  <si>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</si>
  <si>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</si>
  <si>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</si>
  <si>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</si>
  <si>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</si>
  <si>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</si>
  <si>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Nyírfa utcai projekt (adósságkonsz)</t>
  </si>
  <si>
    <t>Nagyparkoló T jelű belterületi út építáése, forgalomtechnika (adósságkonsz)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</si>
  <si>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</si>
  <si>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</si>
  <si>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</si>
  <si>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</si>
  <si>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</si>
  <si>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</si>
  <si>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</si>
  <si>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</si>
  <si>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</si>
  <si>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</si>
  <si>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</si>
  <si>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</si>
  <si>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</si>
  <si>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</si>
  <si>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</si>
  <si>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</si>
  <si>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</si>
  <si>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</si>
  <si>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</si>
  <si>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</si>
  <si>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</si>
  <si>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</si>
  <si>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</si>
  <si>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</si>
  <si>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</si>
  <si>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</si>
  <si>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</si>
  <si>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</si>
  <si>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</si>
  <si>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</si>
  <si>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</si>
  <si>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</si>
  <si>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</si>
  <si>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</si>
  <si>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</si>
  <si>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 xml:space="preserve">Zrínyi utca  99-179. házszám közötti szakasz út, közmű és zöldfelületi felújítás ( terv készítés) 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</si>
  <si>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</si>
  <si>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</si>
  <si>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</si>
  <si>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</si>
  <si>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</si>
  <si>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</si>
  <si>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</si>
  <si>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</si>
  <si>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</si>
  <si>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</si>
  <si>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</si>
  <si>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</si>
  <si>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</si>
  <si>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</si>
  <si>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</si>
  <si>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</si>
  <si>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</si>
  <si>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</si>
  <si>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</si>
  <si>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</si>
  <si>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</si>
  <si>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</si>
  <si>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</si>
  <si>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</si>
  <si>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</si>
  <si>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</si>
  <si>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 xml:space="preserve"> 503301 Áplolási támogatás</t>
  </si>
  <si>
    <t>503301 Köztemetés</t>
  </si>
  <si>
    <t>503301 Szociális célú tüzifa</t>
  </si>
  <si>
    <t xml:space="preserve">Méltányossági támogatás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</si>
  <si>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</si>
  <si>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</si>
  <si>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</si>
  <si>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</si>
  <si>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</si>
  <si>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</si>
  <si>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</si>
  <si>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</si>
  <si>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</si>
  <si>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</si>
  <si>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</si>
  <si>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</si>
  <si>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</si>
  <si>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</si>
  <si>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</si>
  <si>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</si>
  <si>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</si>
  <si>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</si>
  <si>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</si>
  <si>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</si>
  <si>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</si>
  <si>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5022255 "Zala két keréken" TOP-3.1.1-15-ZA-2016-00005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</si>
  <si>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</si>
  <si>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</si>
  <si>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</si>
  <si>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</si>
  <si>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</si>
  <si>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</si>
  <si>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</si>
  <si>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</si>
  <si>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</si>
  <si>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</si>
  <si>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</si>
  <si>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</si>
  <si>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</si>
  <si>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</si>
  <si>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</si>
  <si>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</si>
  <si>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</si>
  <si>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</si>
  <si>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</si>
  <si>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</si>
  <si>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</si>
  <si>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</si>
  <si>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</si>
  <si>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</si>
  <si>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</si>
  <si>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</si>
  <si>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</si>
  <si>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</si>
  <si>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</si>
  <si>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</si>
  <si>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</si>
  <si>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eszközök (2db klima, 1db ipari mosogatógép)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</si>
  <si>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</si>
  <si>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</si>
  <si>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</si>
  <si>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</si>
  <si>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</si>
  <si>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</si>
  <si>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közhatalmi bevételek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</si>
  <si>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</si>
  <si>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</si>
  <si>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</si>
  <si>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</si>
  <si>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</si>
  <si>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</si>
  <si>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</si>
  <si>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</si>
  <si>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</si>
  <si>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</si>
  <si>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</si>
  <si>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</si>
  <si>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</si>
  <si>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</si>
  <si>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</si>
  <si>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</si>
  <si>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</si>
  <si>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</si>
  <si>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</si>
  <si>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</si>
  <si>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</si>
  <si>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 xml:space="preserve"> 502224 "ReforbCulture" projekt</t>
  </si>
  <si>
    <t>Nagyparkoló zöldterületének és közlekedési ter. megújítása (Zöldváros) TOP-2.1.2-15-ZA1-2016-00004</t>
  </si>
  <si>
    <t>Hévízi TV Nonprofit Kft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</si>
  <si>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("Zala két keréken" TOP 3.1.1-15-ZA1-2016-00005 projekt foly. előleg)</t>
    </r>
  </si>
  <si>
    <t>("Zala két keréken" TOP 3.1.1-15-ZA1-2016-00005 projekt foly. előleg)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</si>
  <si>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</si>
  <si>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</si>
  <si>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</si>
  <si>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</si>
  <si>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</si>
  <si>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</si>
  <si>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</si>
  <si>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</si>
  <si>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</si>
  <si>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</si>
  <si>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</si>
  <si>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</si>
  <si>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</si>
  <si>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</si>
  <si>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</si>
  <si>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</si>
  <si>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</si>
  <si>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</si>
  <si>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</si>
  <si>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</si>
  <si>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</si>
  <si>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</si>
  <si>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</si>
  <si>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</si>
  <si>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</si>
  <si>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</si>
  <si>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</si>
  <si>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(665.000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</si>
  <si>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</si>
  <si>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(Kormányzati döntés alapján!)</t>
    </r>
  </si>
  <si>
    <r>
      <rPr>
        <b/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</si>
  <si>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r>
      <rPr>
        <sz val="12"/>
        <color indexed="8"/>
        <rFont val="Times New Roman"/>
        <family val="1"/>
        <charset val="238"/>
      </rPr>
      <t>Hitel felvétel</t>
    </r>
    <r>
      <rPr>
        <b/>
        <sz val="12"/>
        <color rgb="FF0070C0"/>
        <rFont val="Times New Roman"/>
        <family val="1"/>
        <charset val="238"/>
      </rPr>
      <t xml:space="preserve"> (Kormányzati döntés alapján!)</t>
    </r>
    <r>
      <rPr>
        <sz val="12"/>
        <color indexed="8"/>
        <rFont val="Times New Roman"/>
        <family val="1"/>
        <charset val="238"/>
      </rPr>
      <t xml:space="preserve"> buszpályaudvar korábbi telekvásárlásra vonatkozó összege </t>
    </r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</si>
  <si>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</si>
  <si>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</si>
  <si>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</si>
  <si>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</si>
  <si>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</si>
  <si>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</si>
  <si>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 xml:space="preserve">Piac tervezési módosítás (Pályázatban nem elszámolható! 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</si>
  <si>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</si>
  <si>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</si>
  <si>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</si>
  <si>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</si>
  <si>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</si>
  <si>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</si>
  <si>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</si>
  <si>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</si>
  <si>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</si>
  <si>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</si>
  <si>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</si>
  <si>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</si>
  <si>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</si>
  <si>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</si>
  <si>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</si>
  <si>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</si>
  <si>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</si>
  <si>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</si>
  <si>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</si>
  <si>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</si>
  <si>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</si>
  <si>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</si>
  <si>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</si>
  <si>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</si>
  <si>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</si>
  <si>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</si>
  <si>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</si>
  <si>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</si>
  <si>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</si>
  <si>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</si>
  <si>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</si>
  <si>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</si>
  <si>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</si>
  <si>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</si>
  <si>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 xml:space="preserve">2/2018. (I. 25.) önkormányzat rendelet 1. melléklete </t>
  </si>
  <si>
    <t>2/2018. (I. 25.) önkormányzati rendelet 1/1. melléklete</t>
  </si>
  <si>
    <t>2/2018. (I. 25.) önkormányzati rendelet 1/2. melléklete</t>
  </si>
  <si>
    <t>2/2018. (I. 25.) önkormányzati rendelet 1/3. melléklete</t>
  </si>
  <si>
    <t>2/2018. (I. 25.) önkormányzati rendelet 1/4. melléklete</t>
  </si>
  <si>
    <t>2/2018. (I. 25.) önkormányzati rendelet 1/5. melléklete</t>
  </si>
  <si>
    <t>2/2018. (I. 25.) önkormányzati rendelet 1/6. melléklete</t>
  </si>
  <si>
    <t>2/2018. (I. 25.) önkormányzati rendelet 1/7. melléklete</t>
  </si>
  <si>
    <t>2/2018. (I. 25.) önkormányzati rendelet 1/8.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</si>
  <si>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</si>
  <si>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2/2018. (I. 25.) önkormányzati rendelet 1/9. melléklete</t>
  </si>
  <si>
    <t>2/2018. (I. 25.) önkormányzati rendelet 2/1. melléklete</t>
  </si>
  <si>
    <t>2/2018. (I. 25.) önkormányzati rendelet 2/1/1. melléklete</t>
  </si>
  <si>
    <t>2/2018. (I. 25.) önkormányzati rendelet 2/2. melléklete</t>
  </si>
  <si>
    <t>2/2018. (I. 25.) önkormányzati rendelet 2/3. melléklete</t>
  </si>
  <si>
    <t>2/2018. (I. 25.) önkormányzati rendelet 2/4. melléklete</t>
  </si>
  <si>
    <t>2/2018. (I. 25.) önkormányzati rendelet 3/1. melléklete</t>
  </si>
  <si>
    <t>2/2018. (I. 25.) önkormányzati rendelet 3/2. melléklete</t>
  </si>
  <si>
    <t>2/2018. (I. 25.) önkormányzati rendelet 3/3. melléklete</t>
  </si>
  <si>
    <t>2/2018. (I. 25.) önkormányzati rendelet 3/4. melléklete</t>
  </si>
  <si>
    <t>2/2018. (I. 25.) önkormányzati rendelet 4. melléklete</t>
  </si>
  <si>
    <t>2/2018. (I. 25.) önkormányzati rendelet 5. melléklete</t>
  </si>
  <si>
    <t xml:space="preserve"> 2/2018. (I. 25.) önkormányzati rendelet 6. melléklete</t>
  </si>
  <si>
    <t>2/2018. (I. 25.) önkormányzati rendelet 7. melléklete</t>
  </si>
  <si>
    <t xml:space="preserve">  2/2018. (I. 25.) önkormányzati rendelet 8.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</si>
</sst>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  <numFmt numFmtId="171" formatCode="#,##0.0;[Red]#,##0.0"/>
  </numFmts>
  <fonts count="15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81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3" fontId="25" fillId="0" borderId="18" xfId="0" applyNumberFormat="1" applyFont="1" applyBorder="1"/>
    <xf numFmtId="3" fontId="25" fillId="0" borderId="32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3" fontId="25" fillId="0" borderId="34" xfId="0" applyNumberFormat="1" applyFont="1" applyBorder="1"/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64" fillId="0" borderId="41" xfId="0" applyNumberFormat="1" applyFont="1" applyBorder="1"/>
    <xf numFmtId="3" fontId="27" fillId="0" borderId="0" xfId="0" applyNumberFormat="1" applyFont="1" applyAlignment="1">
      <alignment horizontal="right"/>
    </xf>
    <xf numFmtId="0" fontId="25" fillId="0" borderId="62" xfId="0" applyFont="1" applyBorder="1"/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1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5" xfId="0" applyNumberFormat="1" applyFont="1" applyFill="1" applyBorder="1"/>
    <xf numFmtId="3" fontId="64" fillId="0" borderId="66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30" fillId="0" borderId="67" xfId="0" applyNumberFormat="1" applyFont="1" applyBorder="1"/>
    <xf numFmtId="3" fontId="30" fillId="0" borderId="68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9" xfId="74" applyNumberFormat="1" applyFont="1" applyBorder="1"/>
    <xf numFmtId="3" fontId="34" fillId="0" borderId="69" xfId="0" applyNumberFormat="1" applyFont="1" applyBorder="1"/>
    <xf numFmtId="3" fontId="28" fillId="0" borderId="69" xfId="0" applyNumberFormat="1" applyFont="1" applyBorder="1"/>
    <xf numFmtId="3" fontId="30" fillId="0" borderId="69" xfId="0" applyNumberFormat="1" applyFont="1" applyBorder="1"/>
    <xf numFmtId="3" fontId="38" fillId="0" borderId="69" xfId="0" applyNumberFormat="1" applyFont="1" applyBorder="1"/>
    <xf numFmtId="3" fontId="25" fillId="0" borderId="69" xfId="0" applyNumberFormat="1" applyFont="1" applyBorder="1"/>
    <xf numFmtId="0" fontId="25" fillId="0" borderId="69" xfId="0" applyFont="1" applyBorder="1"/>
    <xf numFmtId="3" fontId="28" fillId="0" borderId="71" xfId="0" applyNumberFormat="1" applyFont="1" applyBorder="1"/>
    <xf numFmtId="3" fontId="57" fillId="0" borderId="69" xfId="0" applyNumberFormat="1" applyFont="1" applyBorder="1"/>
    <xf numFmtId="3" fontId="25" fillId="0" borderId="70" xfId="0" applyNumberFormat="1" applyFont="1" applyBorder="1"/>
    <xf numFmtId="3" fontId="28" fillId="0" borderId="72" xfId="0" applyNumberFormat="1" applyFont="1" applyBorder="1"/>
    <xf numFmtId="0" fontId="34" fillId="0" borderId="69" xfId="0" applyFont="1" applyBorder="1"/>
    <xf numFmtId="3" fontId="34" fillId="0" borderId="71" xfId="0" applyNumberFormat="1" applyFont="1" applyBorder="1"/>
    <xf numFmtId="0" fontId="25" fillId="0" borderId="27" xfId="0" applyFont="1" applyBorder="1" applyAlignment="1">
      <alignment wrapText="1"/>
    </xf>
    <xf numFmtId="3" fontId="25" fillId="0" borderId="73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71" xfId="0" applyNumberFormat="1" applyFont="1" applyBorder="1"/>
    <xf numFmtId="3" fontId="58" fillId="0" borderId="69" xfId="74" applyNumberFormat="1" applyFont="1" applyBorder="1"/>
    <xf numFmtId="3" fontId="58" fillId="0" borderId="69" xfId="0" applyNumberFormat="1" applyFont="1" applyBorder="1"/>
    <xf numFmtId="3" fontId="35" fillId="0" borderId="69" xfId="0" applyNumberFormat="1" applyFont="1" applyBorder="1"/>
    <xf numFmtId="3" fontId="39" fillId="0" borderId="69" xfId="0" applyNumberFormat="1" applyFont="1" applyBorder="1"/>
    <xf numFmtId="3" fontId="66" fillId="0" borderId="69" xfId="0" applyNumberFormat="1" applyFont="1" applyBorder="1"/>
    <xf numFmtId="0" fontId="30" fillId="0" borderId="69" xfId="0" applyFont="1" applyBorder="1"/>
    <xf numFmtId="3" fontId="30" fillId="0" borderId="70" xfId="0" applyNumberFormat="1" applyFont="1" applyBorder="1"/>
    <xf numFmtId="0" fontId="22" fillId="0" borderId="71" xfId="0" applyFont="1" applyBorder="1"/>
    <xf numFmtId="3" fontId="23" fillId="0" borderId="69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5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6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5" xfId="0" applyNumberFormat="1" applyFont="1" applyBorder="1"/>
    <xf numFmtId="3" fontId="64" fillId="0" borderId="78" xfId="0" applyNumberFormat="1" applyFont="1" applyBorder="1" applyAlignment="1">
      <alignment horizontal="right" vertical="center" wrapText="1"/>
    </xf>
    <xf numFmtId="3" fontId="64" fillId="0" borderId="79" xfId="0" applyNumberFormat="1" applyFont="1" applyBorder="1" applyAlignment="1">
      <alignment horizontal="center" vertical="center" wrapText="1"/>
    </xf>
    <xf numFmtId="3" fontId="25" fillId="0" borderId="67" xfId="0" applyNumberFormat="1" applyFont="1" applyBorder="1"/>
    <xf numFmtId="3" fontId="30" fillId="0" borderId="80" xfId="0" applyNumberFormat="1" applyFont="1" applyBorder="1"/>
    <xf numFmtId="0" fontId="25" fillId="0" borderId="27" xfId="0" applyFont="1" applyBorder="1"/>
    <xf numFmtId="3" fontId="30" fillId="0" borderId="73" xfId="0" applyNumberFormat="1" applyFont="1" applyBorder="1"/>
    <xf numFmtId="3" fontId="30" fillId="0" borderId="18" xfId="0" applyNumberFormat="1" applyFont="1" applyBorder="1"/>
    <xf numFmtId="3" fontId="64" fillId="0" borderId="61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81" xfId="0" applyNumberFormat="1" applyFont="1" applyFill="1" applyBorder="1"/>
    <xf numFmtId="3" fontId="57" fillId="0" borderId="69" xfId="0" applyNumberFormat="1" applyFont="1" applyBorder="1" applyAlignment="1">
      <alignment horizontal="center" vertical="center" wrapText="1"/>
    </xf>
    <xf numFmtId="3" fontId="64" fillId="0" borderId="69" xfId="0" applyNumberFormat="1" applyFont="1" applyBorder="1"/>
    <xf numFmtId="3" fontId="59" fillId="0" borderId="69" xfId="0" applyNumberFormat="1" applyFont="1" applyBorder="1"/>
    <xf numFmtId="3" fontId="64" fillId="0" borderId="82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3" xfId="0" applyFont="1" applyFill="1" applyBorder="1" applyAlignment="1"/>
    <xf numFmtId="3" fontId="64" fillId="0" borderId="50" xfId="0" applyNumberFormat="1" applyFont="1" applyFill="1" applyBorder="1"/>
    <xf numFmtId="3" fontId="64" fillId="0" borderId="65" xfId="0" applyNumberFormat="1" applyFont="1" applyBorder="1"/>
    <xf numFmtId="3" fontId="64" fillId="0" borderId="84" xfId="0" applyNumberFormat="1" applyFont="1" applyBorder="1"/>
    <xf numFmtId="3" fontId="64" fillId="0" borderId="85" xfId="0" applyNumberFormat="1" applyFont="1" applyBorder="1"/>
    <xf numFmtId="3" fontId="64" fillId="0" borderId="69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6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7" xfId="78" applyNumberFormat="1" applyFont="1" applyBorder="1" applyAlignment="1">
      <alignment horizontal="center" vertical="center"/>
    </xf>
    <xf numFmtId="3" fontId="59" fillId="0" borderId="65" xfId="0" applyNumberFormat="1" applyFont="1" applyFill="1" applyBorder="1"/>
    <xf numFmtId="3" fontId="59" fillId="0" borderId="84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8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8" xfId="0" applyFont="1" applyBorder="1"/>
    <xf numFmtId="0" fontId="57" fillId="0" borderId="69" xfId="0" applyFont="1" applyBorder="1"/>
    <xf numFmtId="0" fontId="57" fillId="0" borderId="72" xfId="0" applyFont="1" applyBorder="1"/>
    <xf numFmtId="3" fontId="64" fillId="0" borderId="72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9" xfId="0" applyFont="1" applyFill="1" applyBorder="1" applyAlignment="1">
      <alignment wrapText="1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3" fontId="25" fillId="0" borderId="89" xfId="0" applyNumberFormat="1" applyFont="1" applyFill="1" applyBorder="1"/>
    <xf numFmtId="0" fontId="25" fillId="0" borderId="88" xfId="0" applyFont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90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93" xfId="0" applyNumberFormat="1" applyFont="1" applyBorder="1"/>
    <xf numFmtId="0" fontId="42" fillId="0" borderId="94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9" xfId="0" applyFont="1" applyBorder="1"/>
    <xf numFmtId="3" fontId="43" fillId="0" borderId="0" xfId="0" applyNumberFormat="1" applyFont="1" applyBorder="1"/>
    <xf numFmtId="3" fontId="53" fillId="0" borderId="69" xfId="0" applyNumberFormat="1" applyFont="1" applyBorder="1"/>
    <xf numFmtId="3" fontId="20" fillId="0" borderId="0" xfId="0" applyNumberFormat="1" applyFont="1" applyBorder="1"/>
    <xf numFmtId="3" fontId="44" fillId="0" borderId="22" xfId="0" applyNumberFormat="1" applyFont="1" applyBorder="1"/>
    <xf numFmtId="3" fontId="44" fillId="0" borderId="0" xfId="0" applyNumberFormat="1" applyFont="1" applyBorder="1"/>
    <xf numFmtId="3" fontId="41" fillId="0" borderId="0" xfId="0" applyNumberFormat="1" applyFont="1" applyBorder="1"/>
    <xf numFmtId="0" fontId="53" fillId="0" borderId="69" xfId="0" applyFont="1" applyBorder="1"/>
    <xf numFmtId="0" fontId="20" fillId="0" borderId="69" xfId="0" applyFont="1" applyBorder="1"/>
    <xf numFmtId="3" fontId="20" fillId="0" borderId="69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9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3" fontId="64" fillId="0" borderId="72" xfId="0" applyNumberFormat="1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8" xfId="71" applyFont="1" applyFill="1" applyBorder="1" applyAlignment="1">
      <alignment vertical="center"/>
    </xf>
    <xf numFmtId="3" fontId="130" fillId="0" borderId="65" xfId="71" applyNumberFormat="1" applyFont="1" applyFill="1" applyBorder="1" applyAlignment="1">
      <alignment vertical="center"/>
    </xf>
    <xf numFmtId="3" fontId="130" fillId="0" borderId="84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9" xfId="0" applyFont="1" applyBorder="1"/>
    <xf numFmtId="0" fontId="50" fillId="0" borderId="99" xfId="0" applyFont="1" applyBorder="1" applyAlignment="1">
      <alignment horizontal="right"/>
    </xf>
    <xf numFmtId="0" fontId="54" fillId="0" borderId="99" xfId="0" applyFont="1" applyBorder="1" applyAlignment="1">
      <alignment horizontal="right"/>
    </xf>
    <xf numFmtId="0" fontId="48" fillId="0" borderId="99" xfId="0" applyFont="1" applyBorder="1" applyAlignment="1">
      <alignment horizontal="right"/>
    </xf>
    <xf numFmtId="4" fontId="48" fillId="0" borderId="99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6" xfId="0" applyFont="1" applyBorder="1"/>
    <xf numFmtId="0" fontId="55" fillId="0" borderId="96" xfId="0" applyFont="1" applyBorder="1" applyAlignment="1">
      <alignment horizontal="right"/>
    </xf>
    <xf numFmtId="0" fontId="54" fillId="0" borderId="96" xfId="0" applyFont="1" applyBorder="1" applyAlignment="1">
      <alignment horizontal="right"/>
    </xf>
    <xf numFmtId="0" fontId="48" fillId="0" borderId="96" xfId="0" applyFont="1" applyBorder="1" applyAlignment="1">
      <alignment horizontal="right"/>
    </xf>
    <xf numFmtId="0" fontId="48" fillId="0" borderId="97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9" xfId="0" applyFont="1" applyBorder="1"/>
    <xf numFmtId="0" fontId="43" fillId="0" borderId="69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5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5" xfId="0" applyNumberFormat="1" applyFont="1" applyBorder="1"/>
    <xf numFmtId="3" fontId="30" fillId="0" borderId="77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9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93" fillId="0" borderId="0" xfId="0" applyNumberFormat="1" applyFont="1" applyBorder="1" applyAlignment="1">
      <alignment horizontal="center" vertical="center" wrapText="1"/>
    </xf>
    <xf numFmtId="3" fontId="93" fillId="0" borderId="19" xfId="0" applyNumberFormat="1" applyFont="1" applyBorder="1" applyAlignment="1">
      <alignment horizontal="center" vertical="center" wrapText="1"/>
    </xf>
    <xf numFmtId="3" fontId="82" fillId="0" borderId="19" xfId="0" applyNumberFormat="1" applyFont="1" applyBorder="1" applyAlignment="1">
      <alignment horizontal="center" vertical="center" wrapText="1"/>
    </xf>
    <xf numFmtId="3" fontId="93" fillId="0" borderId="63" xfId="0" applyNumberFormat="1" applyFont="1" applyBorder="1" applyAlignment="1">
      <alignment horizontal="center" vertical="center" wrapText="1"/>
    </xf>
    <xf numFmtId="3" fontId="93" fillId="0" borderId="71" xfId="0" applyNumberFormat="1" applyFont="1" applyBorder="1" applyAlignment="1">
      <alignment horizontal="center" vertical="center" wrapText="1"/>
    </xf>
    <xf numFmtId="3" fontId="59" fillId="0" borderId="64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3" xfId="0" applyNumberFormat="1" applyFont="1" applyBorder="1" applyAlignment="1">
      <alignment horizontal="center" vertical="center" wrapText="1"/>
    </xf>
    <xf numFmtId="3" fontId="59" fillId="0" borderId="69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3" xfId="0" applyNumberFormat="1" applyFont="1" applyBorder="1"/>
    <xf numFmtId="3" fontId="59" fillId="0" borderId="64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3" xfId="0" applyNumberFormat="1" applyFont="1" applyFill="1" applyBorder="1"/>
    <xf numFmtId="3" fontId="58" fillId="0" borderId="69" xfId="0" applyNumberFormat="1" applyFont="1" applyFill="1" applyBorder="1"/>
    <xf numFmtId="3" fontId="59" fillId="0" borderId="64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3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9" xfId="0" applyFont="1" applyBorder="1" applyAlignment="1">
      <alignment horizontal="left" vertical="center" wrapText="1"/>
    </xf>
    <xf numFmtId="0" fontId="90" fillId="0" borderId="128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9" xfId="0" applyFont="1" applyBorder="1"/>
    <xf numFmtId="0" fontId="82" fillId="0" borderId="69" xfId="0" applyFont="1" applyBorder="1"/>
    <xf numFmtId="0" fontId="85" fillId="0" borderId="69" xfId="0" applyFont="1" applyBorder="1"/>
    <xf numFmtId="0" fontId="85" fillId="0" borderId="69" xfId="0" applyFont="1" applyFill="1" applyBorder="1"/>
    <xf numFmtId="3" fontId="25" fillId="0" borderId="77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0" fontId="25" fillId="0" borderId="0" xfId="0" applyFont="1" applyBorder="1" applyAlignment="1">
      <alignment horizontal="left"/>
    </xf>
    <xf numFmtId="3" fontId="64" fillId="0" borderId="91" xfId="0" applyNumberFormat="1" applyFont="1" applyBorder="1" applyAlignment="1">
      <alignment horizontal="center" vertical="center" wrapText="1"/>
    </xf>
    <xf numFmtId="3" fontId="28" fillId="0" borderId="94" xfId="0" applyNumberFormat="1" applyFont="1" applyBorder="1"/>
    <xf numFmtId="3" fontId="28" fillId="25" borderId="69" xfId="0" applyNumberFormat="1" applyFont="1" applyFill="1" applyBorder="1"/>
    <xf numFmtId="0" fontId="77" fillId="0" borderId="93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91" xfId="0" applyFont="1" applyBorder="1" applyAlignment="1">
      <alignment horizontal="center" vertical="center"/>
    </xf>
    <xf numFmtId="3" fontId="93" fillId="0" borderId="91" xfId="0" applyNumberFormat="1" applyFont="1" applyBorder="1" applyAlignment="1">
      <alignment horizontal="center" vertical="center" wrapText="1"/>
    </xf>
    <xf numFmtId="3" fontId="93" fillId="0" borderId="92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93" xfId="0" applyFont="1" applyBorder="1"/>
    <xf numFmtId="3" fontId="30" fillId="0" borderId="93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0" fontId="30" fillId="0" borderId="13" xfId="0" applyFont="1" applyBorder="1"/>
    <xf numFmtId="3" fontId="30" fillId="0" borderId="31" xfId="0" applyNumberFormat="1" applyFont="1" applyBorder="1"/>
    <xf numFmtId="0" fontId="30" fillId="0" borderId="88" xfId="0" applyFont="1" applyBorder="1"/>
    <xf numFmtId="3" fontId="30" fillId="0" borderId="32" xfId="0" applyNumberFormat="1" applyFont="1" applyBorder="1"/>
    <xf numFmtId="3" fontId="30" fillId="0" borderId="89" xfId="0" applyNumberFormat="1" applyFont="1" applyFill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9" xfId="0" applyNumberFormat="1" applyFont="1" applyBorder="1"/>
    <xf numFmtId="3" fontId="23" fillId="0" borderId="74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11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3" fontId="110" fillId="0" borderId="26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0" fontId="110" fillId="0" borderId="0" xfId="0" applyFont="1" applyBorder="1" applyAlignment="1">
      <alignment horizontal="left" wrapText="1"/>
    </xf>
    <xf numFmtId="0" fontId="110" fillId="0" borderId="34" xfId="0" applyFont="1" applyBorder="1" applyAlignment="1">
      <alignment wrapText="1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53" fillId="0" borderId="22" xfId="0" applyNumberFormat="1" applyFont="1" applyBorder="1"/>
    <xf numFmtId="3" fontId="20" fillId="0" borderId="22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53" fillId="0" borderId="95" xfId="0" applyNumberFormat="1" applyFont="1" applyBorder="1"/>
    <xf numFmtId="3" fontId="53" fillId="0" borderId="96" xfId="0" applyNumberFormat="1" applyFont="1" applyBorder="1"/>
    <xf numFmtId="3" fontId="53" fillId="0" borderId="97" xfId="0" applyNumberFormat="1" applyFont="1" applyBorder="1"/>
    <xf numFmtId="3" fontId="35" fillId="0" borderId="69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82" xfId="0" applyNumberFormat="1" applyFont="1" applyFill="1" applyBorder="1"/>
    <xf numFmtId="0" fontId="30" fillId="0" borderId="27" xfId="0" applyFont="1" applyBorder="1"/>
    <xf numFmtId="3" fontId="30" fillId="0" borderId="88" xfId="0" applyNumberFormat="1" applyFont="1" applyFill="1" applyBorder="1"/>
    <xf numFmtId="165" fontId="48" fillId="24" borderId="12" xfId="0" applyNumberFormat="1" applyFont="1" applyFill="1" applyBorder="1" applyAlignment="1">
      <alignment horizontal="right" vertical="center"/>
    </xf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167" fontId="48" fillId="0" borderId="28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9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9" xfId="0" applyNumberFormat="1" applyFont="1" applyBorder="1" applyAlignment="1">
      <alignment horizontal="center" vertical="center"/>
    </xf>
    <xf numFmtId="3" fontId="25" fillId="0" borderId="131" xfId="0" applyNumberFormat="1" applyFont="1" applyBorder="1"/>
    <xf numFmtId="3" fontId="25" fillId="0" borderId="82" xfId="0" applyNumberFormat="1" applyFont="1" applyBorder="1"/>
    <xf numFmtId="3" fontId="25" fillId="0" borderId="88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3" fontId="30" fillId="0" borderId="132" xfId="0" applyNumberFormat="1" applyFont="1" applyBorder="1"/>
    <xf numFmtId="3" fontId="30" fillId="0" borderId="66" xfId="0" applyNumberFormat="1" applyFont="1" applyFill="1" applyBorder="1"/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9" fillId="0" borderId="0" xfId="78" applyFont="1" applyAlignment="1">
      <alignment vertical="center" wrapText="1"/>
    </xf>
    <xf numFmtId="3" fontId="25" fillId="0" borderId="49" xfId="0" applyNumberFormat="1" applyFont="1" applyBorder="1"/>
    <xf numFmtId="3" fontId="30" fillId="0" borderId="49" xfId="0" applyNumberFormat="1" applyFont="1" applyBorder="1"/>
    <xf numFmtId="3" fontId="30" fillId="0" borderId="27" xfId="0" applyNumberFormat="1" applyFont="1" applyBorder="1"/>
    <xf numFmtId="3" fontId="30" fillId="0" borderId="88" xfId="0" applyNumberFormat="1" applyFont="1" applyBorder="1"/>
    <xf numFmtId="3" fontId="25" fillId="0" borderId="83" xfId="0" applyNumberFormat="1" applyFont="1" applyFill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7" fillId="0" borderId="24" xfId="71" applyNumberFormat="1" applyFont="1" applyBorder="1" applyAlignment="1">
      <alignment vertical="center"/>
    </xf>
    <xf numFmtId="3" fontId="148" fillId="0" borderId="0" xfId="71" applyNumberFormat="1" applyFont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165" fontId="147" fillId="0" borderId="24" xfId="71" applyNumberFormat="1" applyFont="1" applyBorder="1" applyAlignment="1">
      <alignment vertical="center"/>
    </xf>
    <xf numFmtId="167" fontId="147" fillId="0" borderId="24" xfId="71" applyNumberFormat="1" applyFont="1" applyBorder="1" applyAlignment="1">
      <alignment vertical="center"/>
    </xf>
    <xf numFmtId="4" fontId="147" fillId="0" borderId="24" xfId="71" applyNumberFormat="1" applyFont="1" applyBorder="1" applyAlignment="1">
      <alignment vertical="center"/>
    </xf>
    <xf numFmtId="3" fontId="149" fillId="0" borderId="24" xfId="71" applyNumberFormat="1" applyFont="1" applyFill="1" applyBorder="1" applyAlignment="1">
      <alignment vertical="center"/>
    </xf>
    <xf numFmtId="3" fontId="147" fillId="0" borderId="24" xfId="71" applyNumberFormat="1" applyFont="1" applyBorder="1" applyAlignment="1">
      <alignment vertical="center" wrapText="1"/>
    </xf>
    <xf numFmtId="3" fontId="137" fillId="0" borderId="0" xfId="0" applyNumberFormat="1" applyFont="1" applyBorder="1"/>
    <xf numFmtId="3" fontId="30" fillId="0" borderId="69" xfId="0" applyNumberFormat="1" applyFont="1" applyFill="1" applyBorder="1"/>
    <xf numFmtId="3" fontId="30" fillId="0" borderId="83" xfId="0" applyNumberFormat="1" applyFont="1" applyBorder="1"/>
    <xf numFmtId="3" fontId="30" fillId="0" borderId="34" xfId="0" applyNumberFormat="1" applyFont="1" applyBorder="1"/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51" fillId="0" borderId="22" xfId="0" applyNumberFormat="1" applyFont="1" applyBorder="1"/>
    <xf numFmtId="3" fontId="145" fillId="0" borderId="0" xfId="0" applyNumberFormat="1" applyFont="1" applyBorder="1"/>
    <xf numFmtId="3" fontId="145" fillId="0" borderId="19" xfId="0" applyNumberFormat="1" applyFont="1" applyBorder="1"/>
    <xf numFmtId="3" fontId="145" fillId="0" borderId="69" xfId="0" applyNumberFormat="1" applyFont="1" applyBorder="1"/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25" fillId="0" borderId="0" xfId="78" applyNumberFormat="1" applyFont="1" applyFill="1" applyBorder="1" applyAlignment="1">
      <alignment vertical="center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69" xfId="0" applyFont="1" applyBorder="1"/>
    <xf numFmtId="3" fontId="25" fillId="0" borderId="69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3" fontId="48" fillId="24" borderId="12" xfId="0" applyNumberFormat="1" applyFont="1" applyFill="1" applyBorder="1" applyAlignment="1">
      <alignment horizontal="right" vertical="center"/>
    </xf>
    <xf numFmtId="165" fontId="54" fillId="0" borderId="12" xfId="0" applyNumberFormat="1" applyFont="1" applyBorder="1"/>
    <xf numFmtId="171" fontId="48" fillId="24" borderId="12" xfId="0" applyNumberFormat="1" applyFont="1" applyFill="1" applyBorder="1" applyAlignment="1">
      <alignment horizontal="right" vertical="center"/>
    </xf>
    <xf numFmtId="0" fontId="152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9" xfId="0" applyNumberFormat="1" applyFont="1" applyBorder="1"/>
    <xf numFmtId="3" fontId="26" fillId="0" borderId="104" xfId="0" applyNumberFormat="1" applyFont="1" applyBorder="1"/>
    <xf numFmtId="0" fontId="53" fillId="0" borderId="99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25" fillId="0" borderId="75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3" fontId="93" fillId="0" borderId="69" xfId="0" applyNumberFormat="1" applyFont="1" applyBorder="1" applyAlignment="1">
      <alignment horizontal="center" vertical="center" wrapText="1"/>
    </xf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49" fontId="35" fillId="0" borderId="0" xfId="78" applyNumberFormat="1" applyFont="1" applyBorder="1" applyAlignment="1">
      <alignment horizont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3" xfId="0" applyNumberFormat="1" applyFont="1" applyBorder="1" applyAlignment="1">
      <alignment horizontal="right" vertical="center"/>
    </xf>
    <xf numFmtId="3" fontId="58" fillId="0" borderId="69" xfId="0" applyNumberFormat="1" applyFont="1" applyBorder="1" applyAlignment="1">
      <alignment horizontal="right" vertical="center"/>
    </xf>
    <xf numFmtId="0" fontId="23" fillId="0" borderId="69" xfId="0" applyFont="1" applyBorder="1"/>
    <xf numFmtId="0" fontId="22" fillId="0" borderId="133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53" fillId="0" borderId="24" xfId="77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4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4" fillId="0" borderId="0" xfId="0" applyFont="1" applyFill="1"/>
    <xf numFmtId="0" fontId="154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4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74" fillId="0" borderId="100" xfId="0" applyNumberFormat="1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6" fillId="0" borderId="101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75" fillId="0" borderId="102" xfId="71" applyFont="1" applyFill="1" applyBorder="1" applyAlignment="1">
      <alignment horizontal="center" vertical="center"/>
    </xf>
    <xf numFmtId="0" fontId="75" fillId="0" borderId="103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8" xfId="71" applyNumberFormat="1" applyFont="1" applyFill="1" applyBorder="1" applyAlignment="1">
      <alignment horizontal="center" vertical="center" wrapText="1"/>
    </xf>
    <xf numFmtId="0" fontId="117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91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3" fontId="150" fillId="0" borderId="34" xfId="71" applyNumberFormat="1" applyFont="1" applyBorder="1" applyAlignment="1">
      <alignment horizontal="right" vertical="center"/>
    </xf>
    <xf numFmtId="3" fontId="150" fillId="0" borderId="59" xfId="71" applyNumberFormat="1" applyFont="1" applyBorder="1" applyAlignment="1">
      <alignment horizontal="right" vertical="center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6" xfId="0" applyNumberFormat="1" applyFont="1" applyBorder="1" applyAlignment="1">
      <alignment horizontal="right"/>
    </xf>
    <xf numFmtId="0" fontId="0" fillId="0" borderId="96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4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5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3" fontId="25" fillId="0" borderId="108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9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6" xfId="0" applyFont="1" applyBorder="1" applyAlignment="1">
      <alignment horizontal="right"/>
    </xf>
    <xf numFmtId="0" fontId="0" fillId="0" borderId="96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10" xfId="0" applyFont="1" applyBorder="1" applyAlignment="1">
      <alignment horizontal="center" vertical="center"/>
    </xf>
    <xf numFmtId="3" fontId="74" fillId="0" borderId="101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0" fontId="64" fillId="0" borderId="49" xfId="0" applyFont="1" applyFill="1" applyBorder="1" applyAlignment="1"/>
    <xf numFmtId="0" fontId="78" fillId="0" borderId="88" xfId="0" applyFont="1" applyBorder="1" applyAlignment="1"/>
    <xf numFmtId="0" fontId="64" fillId="0" borderId="119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9" xfId="0" applyNumberFormat="1" applyFont="1" applyBorder="1" applyAlignment="1">
      <alignment horizontal="center" vertical="center" wrapText="1"/>
    </xf>
    <xf numFmtId="3" fontId="64" fillId="0" borderId="111" xfId="0" applyNumberFormat="1" applyFont="1" applyBorder="1" applyAlignment="1">
      <alignment horizontal="center" vertical="center" wrapText="1"/>
    </xf>
    <xf numFmtId="3" fontId="57" fillId="0" borderId="112" xfId="0" applyNumberFormat="1" applyFont="1" applyBorder="1" applyAlignment="1">
      <alignment horizontal="center" vertical="center" wrapText="1"/>
    </xf>
    <xf numFmtId="3" fontId="57" fillId="0" borderId="113" xfId="0" applyNumberFormat="1" applyFont="1" applyBorder="1" applyAlignment="1">
      <alignment horizontal="center" vertical="center" wrapText="1"/>
    </xf>
    <xf numFmtId="0" fontId="57" fillId="0" borderId="114" xfId="0" applyFont="1" applyBorder="1" applyAlignment="1">
      <alignment horizontal="center" vertical="center" textRotation="255"/>
    </xf>
    <xf numFmtId="0" fontId="57" fillId="0" borderId="115" xfId="0" applyFont="1" applyBorder="1" applyAlignment="1">
      <alignment horizontal="center" vertical="center" textRotation="255"/>
    </xf>
    <xf numFmtId="0" fontId="0" fillId="0" borderId="116" xfId="0" applyBorder="1" applyAlignment="1"/>
    <xf numFmtId="3" fontId="64" fillId="0" borderId="117" xfId="0" applyNumberFormat="1" applyFont="1" applyBorder="1" applyAlignment="1">
      <alignment horizontal="center" vertical="center" wrapText="1"/>
    </xf>
    <xf numFmtId="3" fontId="64" fillId="0" borderId="118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20" xfId="0" applyNumberFormat="1" applyFont="1" applyBorder="1" applyAlignment="1">
      <alignment horizontal="center" vertical="center"/>
    </xf>
    <xf numFmtId="3" fontId="64" fillId="0" borderId="122" xfId="0" applyNumberFormat="1" applyFont="1" applyBorder="1" applyAlignment="1">
      <alignment horizontal="center" vertical="center"/>
    </xf>
    <xf numFmtId="3" fontId="64" fillId="0" borderId="121" xfId="0" applyNumberFormat="1" applyFont="1" applyBorder="1" applyAlignment="1">
      <alignment horizontal="center" vertical="center"/>
    </xf>
    <xf numFmtId="3" fontId="64" fillId="0" borderId="123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4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5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1" xfId="0" applyNumberFormat="1" applyFont="1" applyBorder="1" applyAlignment="1">
      <alignment horizontal="right"/>
    </xf>
    <xf numFmtId="3" fontId="64" fillId="0" borderId="112" xfId="0" applyNumberFormat="1" applyFont="1" applyBorder="1" applyAlignment="1">
      <alignment horizontal="center" vertical="center" wrapText="1"/>
    </xf>
    <xf numFmtId="0" fontId="64" fillId="0" borderId="126" xfId="0" applyFont="1" applyBorder="1" applyAlignment="1">
      <alignment horizontal="center" vertical="center" readingOrder="2"/>
    </xf>
    <xf numFmtId="0" fontId="78" fillId="0" borderId="124" xfId="0" applyFont="1" applyBorder="1" applyAlignment="1">
      <alignment horizontal="center" vertical="center"/>
    </xf>
    <xf numFmtId="0" fontId="57" fillId="0" borderId="105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4" xfId="0" applyFont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 wrapText="1"/>
    </xf>
    <xf numFmtId="0" fontId="88" fillId="0" borderId="97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5" xfId="0" applyFont="1" applyBorder="1" applyAlignment="1">
      <alignment horizontal="left"/>
    </xf>
    <xf numFmtId="3" fontId="64" fillId="0" borderId="127" xfId="0" applyNumberFormat="1" applyFont="1" applyBorder="1" applyAlignment="1">
      <alignment horizontal="center"/>
    </xf>
    <xf numFmtId="3" fontId="89" fillId="0" borderId="128" xfId="0" applyNumberFormat="1" applyFont="1" applyBorder="1" applyAlignment="1">
      <alignment horizontal="center"/>
    </xf>
    <xf numFmtId="3" fontId="90" fillId="0" borderId="127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90" fillId="0" borderId="129" xfId="0" applyNumberFormat="1" applyFont="1" applyBorder="1" applyAlignment="1">
      <alignment horizontal="center" vertical="center" wrapText="1"/>
    </xf>
    <xf numFmtId="3" fontId="90" fillId="0" borderId="64" xfId="0" applyNumberFormat="1" applyFont="1" applyBorder="1" applyAlignment="1">
      <alignment horizontal="center" vertical="center" wrapText="1"/>
    </xf>
    <xf numFmtId="0" fontId="88" fillId="0" borderId="130" xfId="0" applyFont="1" applyBorder="1" applyAlignment="1">
      <alignment horizontal="center" vertical="center" wrapText="1"/>
    </xf>
    <xf numFmtId="0" fontId="90" fillId="0" borderId="96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10" xfId="0" applyFont="1" applyBorder="1" applyAlignment="1">
      <alignment horizontal="center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11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 wrapText="1"/>
    </xf>
    <xf numFmtId="0" fontId="54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4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6" xfId="72" applyFont="1" applyBorder="1" applyAlignment="1">
      <alignment horizontal="center"/>
    </xf>
    <xf numFmtId="0" fontId="48" fillId="0" borderId="97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4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9" xfId="72" applyFont="1" applyBorder="1" applyAlignment="1">
      <alignment horizontal="center"/>
    </xf>
    <xf numFmtId="0" fontId="100" fillId="0" borderId="104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5" xfId="77" applyFont="1" applyBorder="1" applyAlignment="1">
      <alignment horizontal="center" vertical="center"/>
    </xf>
    <xf numFmtId="0" fontId="53" fillId="0" borderId="96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55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131" t="s">
        <v>1227</v>
      </c>
      <c r="B1" s="1131"/>
      <c r="C1" s="1131"/>
      <c r="D1" s="1131"/>
      <c r="E1" s="1131"/>
      <c r="F1" s="1131"/>
      <c r="G1" s="1131"/>
      <c r="H1" s="1131"/>
      <c r="I1" s="1131"/>
    </row>
    <row r="2" spans="1:22" ht="20.25" x14ac:dyDescent="0.3">
      <c r="B2" s="1002"/>
      <c r="I2" s="159"/>
    </row>
    <row r="3" spans="1:22" s="122" customFormat="1" x14ac:dyDescent="0.2">
      <c r="A3" s="160"/>
      <c r="B3" s="1134" t="s">
        <v>54</v>
      </c>
      <c r="C3" s="1134"/>
      <c r="D3" s="1134"/>
      <c r="E3" s="1134"/>
      <c r="F3" s="1134"/>
      <c r="G3" s="1134"/>
      <c r="H3" s="1134"/>
      <c r="I3" s="113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36" t="s">
        <v>1123</v>
      </c>
      <c r="C4" s="1136"/>
      <c r="D4" s="1136"/>
      <c r="E4" s="1136"/>
      <c r="F4" s="1136"/>
      <c r="G4" s="1136"/>
      <c r="H4" s="1136"/>
      <c r="I4" s="113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135" t="s">
        <v>326</v>
      </c>
      <c r="C5" s="1135"/>
      <c r="D5" s="1135"/>
      <c r="E5" s="1135"/>
      <c r="F5" s="1135"/>
      <c r="G5" s="1135"/>
      <c r="H5" s="1135"/>
      <c r="I5" s="113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39" t="s">
        <v>56</v>
      </c>
      <c r="B6" s="1140" t="s">
        <v>57</v>
      </c>
      <c r="C6" s="1141" t="s">
        <v>58</v>
      </c>
      <c r="D6" s="1141"/>
      <c r="E6" s="1142"/>
      <c r="F6" s="1143" t="s">
        <v>59</v>
      </c>
      <c r="G6" s="1137" t="s">
        <v>60</v>
      </c>
      <c r="H6" s="1138"/>
      <c r="I6" s="1138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39"/>
      <c r="B7" s="1140"/>
      <c r="C7" s="1132" t="s">
        <v>1125</v>
      </c>
      <c r="D7" s="1132"/>
      <c r="E7" s="1133"/>
      <c r="F7" s="1144"/>
      <c r="G7" s="1132" t="s">
        <v>1125</v>
      </c>
      <c r="H7" s="1132"/>
      <c r="I7" s="1132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139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90"/>
      <c r="K8" s="190"/>
      <c r="L8" s="190"/>
      <c r="M8" s="190"/>
      <c r="N8" s="190"/>
      <c r="O8" s="190"/>
      <c r="P8" s="190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62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3" si="0">A9+1</f>
        <v>2</v>
      </c>
      <c r="B10" s="167" t="s">
        <v>213</v>
      </c>
      <c r="C10" s="301"/>
      <c r="D10" s="301"/>
      <c r="E10" s="289">
        <f>SUM(C10:D10)</f>
        <v>0</v>
      </c>
      <c r="F10" s="516" t="s">
        <v>231</v>
      </c>
      <c r="G10" s="289">
        <f>'pü.mérleg Önkorm.'!G10+'pü.mérleg Hivatal'!H12+'püm. GAMESZ. '!G12+'püm-TASZII.'!G12+püm.Brunszvik!G12+'püm Festetics'!G12</f>
        <v>572377</v>
      </c>
      <c r="H10" s="289">
        <f>'pü.mérleg Önkorm.'!H10+'pü.mérleg Hivatal'!I12+'püm. GAMESZ. '!H12+'püm-TASZII.'!H12+püm.Brunszvik!H12+'püm Festetics'!H12</f>
        <v>339424</v>
      </c>
      <c r="I10" s="483">
        <f>SUM(G10:H10)</f>
        <v>911801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206</v>
      </c>
      <c r="C11" s="301">
        <f>'tám, végl. pe.átv  '!C11+'tám, végl. pe.átv  '!C19+'tám, végl. pe.átv  '!C20</f>
        <v>722724</v>
      </c>
      <c r="D11" s="301">
        <f>'tám, végl. pe.átv  '!D11+'tám, végl. pe.átv  '!D19+'tám, végl. pe.átv  '!D20</f>
        <v>93769</v>
      </c>
      <c r="E11" s="301">
        <f>'tám, végl. pe.átv  '!E11+'tám, végl. pe.átv  '!E19+'tám, végl. pe.átv  '!E20</f>
        <v>816493</v>
      </c>
      <c r="F11" s="901" t="s">
        <v>232</v>
      </c>
      <c r="G11" s="289">
        <f>'pü.mérleg Önkorm.'!G11+'pü.mérleg Hivatal'!H13+'püm. GAMESZ. '!G13+püm.Brunszvik!G13+'püm-TASZII.'!G13+'püm Festetics'!G13</f>
        <v>127623</v>
      </c>
      <c r="H11" s="289">
        <f>'pü.mérleg Önkorm.'!H11+'pü.mérleg Hivatal'!I13+'püm. GAMESZ. '!H13+püm.Brunszvik!H13+'püm-TASZII.'!H13+'püm Festetics'!H13</f>
        <v>82522.320000000007</v>
      </c>
      <c r="I11" s="484">
        <f>SUM(G11:H11)</f>
        <v>210145.32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204</v>
      </c>
      <c r="C12" s="301">
        <f>'pü.mérleg Önkorm.'!C12</f>
        <v>0</v>
      </c>
      <c r="D12" s="301">
        <f>'pü.mérleg Önkorm.'!D12</f>
        <v>0</v>
      </c>
      <c r="E12" s="301">
        <f>'pü.mérleg Önkorm.'!E12</f>
        <v>0</v>
      </c>
      <c r="F12" s="516" t="s">
        <v>233</v>
      </c>
      <c r="G12" s="289">
        <f>'pü.mérleg Önkorm.'!G12+'pü.mérleg Hivatal'!H14+'püm. GAMESZ. '!G14+püm.Brunszvik!G14+'püm-TASZII.'!G14+'püm Festetics'!G14</f>
        <v>537209</v>
      </c>
      <c r="H12" s="289">
        <f>'pü.mérleg Önkorm.'!H12+'pü.mérleg Hivatal'!I14+'püm. GAMESZ. '!H14+püm.Brunszvik!H14+'püm-TASZII.'!H14+'püm Festetics'!H14</f>
        <v>491733</v>
      </c>
      <c r="I12" s="484">
        <f>SUM(G12:H12)</f>
        <v>1028942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58" t="s">
        <v>207</v>
      </c>
      <c r="C13" s="301">
        <f>'pü.mérleg Önkorm.'!C13+'püm. GAMESZ. '!C14+püm.Brunszvik!C14+'püm-TASZII.'!C14+'pü.mérleg Hivatal'!D13+püm.Brunszvik!C14</f>
        <v>31548</v>
      </c>
      <c r="D13" s="301">
        <f>'pü.mérleg Önkorm.'!D13+'püm. GAMESZ. '!D14+püm.Brunszvik!D14+'püm-TASZII.'!D14+'pü.mérleg Hivatal'!E13+püm.Brunszvik!D14</f>
        <v>0</v>
      </c>
      <c r="E13" s="301">
        <f>'pü.mérleg Önkorm.'!E13+'püm. GAMESZ. '!E14+püm.Brunszvik!E14+'püm-TASZII.'!E14+'pü.mérleg Hivatal'!F13+püm.Brunszvik!E14</f>
        <v>31548</v>
      </c>
      <c r="F13" s="516"/>
      <c r="G13" s="301"/>
      <c r="H13" s="301"/>
      <c r="I13" s="483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558" t="s">
        <v>208</v>
      </c>
      <c r="C14" s="301">
        <f>'pü.mérleg Önkorm.'!C14+'püm. GAMESZ. '!C16+püm.Brunszvik!C16+'püm-TASZII.'!C16+'pü.mérleg Hivatal'!D15+püm.Brunszvik!C16</f>
        <v>0</v>
      </c>
      <c r="D14" s="301">
        <f>'felh. bev.  '!E25</f>
        <v>0</v>
      </c>
      <c r="E14" s="289">
        <f>SUM(C14:D14)</f>
        <v>0</v>
      </c>
      <c r="F14" s="516" t="s">
        <v>234</v>
      </c>
      <c r="G14" s="289">
        <f>'pü.mérleg Önkorm.'!G14+'pü.mérleg Hivatal'!H16</f>
        <v>350</v>
      </c>
      <c r="H14" s="289">
        <f>'pü.mérleg Önkorm.'!H14+'pü.mérleg Hivatal'!I16</f>
        <v>13750</v>
      </c>
      <c r="I14" s="484">
        <f>'pü.mérleg Önkorm.'!I14+'pü.mérleg Hivatal'!J16</f>
        <v>14100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/>
      <c r="C15" s="301"/>
      <c r="D15" s="301"/>
      <c r="E15" s="289"/>
      <c r="F15" s="516" t="s">
        <v>235</v>
      </c>
      <c r="G15" s="296"/>
      <c r="H15" s="296"/>
      <c r="I15" s="483"/>
      <c r="J15" s="18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209</v>
      </c>
      <c r="C16" s="301">
        <f>'pü.mérleg Önkorm.'!C16+'püm. GAMESZ. '!C18+püm.Brunszvik!C18+'püm-TASZII.'!C18+'pü.mérleg Hivatal'!D17+püm.Brunszvik!C18</f>
        <v>543007</v>
      </c>
      <c r="D16" s="301">
        <f>'mük. bev.Önkor és Hivatal '!F40</f>
        <v>692313</v>
      </c>
      <c r="E16" s="289">
        <f>SUM(C16:D16)</f>
        <v>1235320</v>
      </c>
      <c r="F16" s="516" t="s">
        <v>236</v>
      </c>
      <c r="G16" s="289">
        <f>'pü.mérleg Önkorm.'!G16</f>
        <v>7750</v>
      </c>
      <c r="H16" s="289">
        <f>'pü.mérleg Önkorm.'!H16+'pü.mérleg Hivatal'!I18+'püm. GAMESZ. '!H18+püm.Brunszvik!H18+'püm-TASZII.'!H18</f>
        <v>40162</v>
      </c>
      <c r="I16" s="484">
        <f>'pü.mérleg Önkorm.'!I16+'pü.mérleg Hivatal'!J18</f>
        <v>47912</v>
      </c>
      <c r="J16" s="158" t="e">
        <f>'pü.mérleg Önkorm.'!#REF!</f>
        <v>#REF!</v>
      </c>
      <c r="K16" s="158" t="e">
        <f>'pü.mérleg Önkorm.'!#REF!</f>
        <v>#REF!</v>
      </c>
      <c r="L16" s="158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70" t="s">
        <v>40</v>
      </c>
      <c r="C17" s="301">
        <f>'pü.mérleg Önkorm.'!C17+'püm. GAMESZ. '!C19+püm.Brunszvik!C19+'püm-TASZII.'!C19+'pü.mérleg Hivatal'!D18+püm.Brunszvik!C19</f>
        <v>0</v>
      </c>
      <c r="D17" s="367"/>
      <c r="E17" s="367"/>
      <c r="F17" s="516" t="s">
        <v>237</v>
      </c>
      <c r="G17" s="289">
        <f>'pü.mérleg Önkorm.'!G17</f>
        <v>266185</v>
      </c>
      <c r="H17" s="289">
        <f>'pü.mérleg Önkorm.'!H17</f>
        <v>19908</v>
      </c>
      <c r="I17" s="484">
        <f>'pü.mérleg Önkorm.'!I17</f>
        <v>286093</v>
      </c>
      <c r="J17" s="158" t="e">
        <f>'pü.mérleg Önkorm.'!#REF!</f>
        <v>#REF!</v>
      </c>
      <c r="K17" s="158" t="e">
        <f>'pü.mérleg Önkorm.'!#REF!</f>
        <v>#REF!</v>
      </c>
      <c r="L17" s="158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/>
      <c r="C18" s="301"/>
      <c r="D18" s="367"/>
      <c r="E18" s="367"/>
      <c r="F18" s="516" t="s">
        <v>238</v>
      </c>
      <c r="G18" s="289">
        <f>'pü.mérleg Önkorm.'!G18+'pü.mérleg Hivatal'!H20+'püm. GAMESZ. '!G20+püm.Brunszvik!G20+'püm Festetics'!G20+'püm-TASZII.'!G20</f>
        <v>451</v>
      </c>
      <c r="H18" s="289">
        <f>'pü.mérleg Önkorm.'!H18+'pü.mérleg Hivatal'!I20+'püm. GAMESZ. '!H20+püm.Brunszvik!H20+'püm Festetics'!H20+'püm-TASZII.'!H20</f>
        <v>0</v>
      </c>
      <c r="I18" s="289">
        <f>'pü.mérleg Önkorm.'!I18+'pü.mérleg Hivatal'!J20+'püm. GAMESZ. '!I20+püm.Brunszvik!I20+'püm Festetics'!I20+'püm-TASZII.'!I20</f>
        <v>451</v>
      </c>
      <c r="J18" s="119">
        <f>'pü.mérleg Önkorm.'!J18+'pü.mérleg Hivatal'!K20+'püm. GAMESZ. '!J20+püm.Brunszvik!J20+'püm Festetics'!J20+'püm-TASZII.'!J20</f>
        <v>0</v>
      </c>
      <c r="K18" s="119">
        <f>'pü.mérleg Önkorm.'!K18+'pü.mérleg Hivatal'!L20+'püm. GAMESZ. '!K20+püm.Brunszvik!K20+'püm Festetics'!K20+'püm-TASZII.'!K20</f>
        <v>0</v>
      </c>
      <c r="L18" s="119">
        <f>'pü.mérleg Önkorm.'!L18+'pü.mérleg Hivatal'!M20+'püm. GAMESZ. '!L20+püm.Brunszvik!L20+'püm Festetics'!L20+'püm-TASZII.'!L20</f>
        <v>0</v>
      </c>
      <c r="M18" s="184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210</v>
      </c>
      <c r="C19" s="301">
        <f>'pü.mérleg Önkorm.'!C19+'pü.mérleg Hivatal'!D20+'püm. GAMESZ. '!C20+püm.Brunszvik!C20+'püm-TASZII.'!C20+'püm Festetics'!C20</f>
        <v>164294</v>
      </c>
      <c r="D19" s="301">
        <f>'pü.mérleg Önkorm.'!D19+'pü.mérleg Hivatal'!E20+'püm. GAMESZ. '!D20+püm.Brunszvik!D20+'püm-TASZII.'!D20+'püm Festetics'!D20</f>
        <v>193382</v>
      </c>
      <c r="E19" s="301">
        <f>SUM(C19:D19)</f>
        <v>357676</v>
      </c>
      <c r="F19" s="516" t="s">
        <v>239</v>
      </c>
      <c r="G19" s="289"/>
      <c r="H19" s="289">
        <f>'pü.mérleg Önkorm.'!H19</f>
        <v>65088</v>
      </c>
      <c r="I19" s="483">
        <f>SUM(G19:H19)</f>
        <v>65088</v>
      </c>
      <c r="J19" s="18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C20" s="367"/>
      <c r="D20" s="367"/>
      <c r="E20" s="367"/>
      <c r="F20" s="516" t="s">
        <v>240</v>
      </c>
      <c r="G20" s="289">
        <f>'pü.mérleg Önkorm.'!G20</f>
        <v>20000</v>
      </c>
      <c r="H20" s="289">
        <f>'pü.mérleg Önkorm.'!H20</f>
        <v>0</v>
      </c>
      <c r="I20" s="483">
        <f>SUM(G20:H20)</f>
        <v>20000</v>
      </c>
      <c r="J20" s="180"/>
      <c r="Q20" s="10"/>
      <c r="R20" s="10"/>
      <c r="S20" s="10"/>
      <c r="T20" s="10"/>
      <c r="U20" s="10"/>
      <c r="V20" s="10"/>
    </row>
    <row r="21" spans="1:22" s="124" customFormat="1" x14ac:dyDescent="0.2">
      <c r="A21" s="164">
        <f t="shared" si="0"/>
        <v>13</v>
      </c>
      <c r="B21" s="157" t="s">
        <v>212</v>
      </c>
      <c r="C21" s="367"/>
      <c r="D21" s="367"/>
      <c r="E21" s="367"/>
      <c r="F21" s="628"/>
      <c r="G21" s="296"/>
      <c r="H21" s="296"/>
      <c r="I21" s="485"/>
      <c r="J21" s="660"/>
      <c r="K21" s="191"/>
      <c r="L21" s="191"/>
      <c r="M21" s="191"/>
      <c r="N21" s="191"/>
      <c r="O21" s="191"/>
      <c r="P21" s="191"/>
    </row>
    <row r="22" spans="1:22" s="124" customFormat="1" x14ac:dyDescent="0.2">
      <c r="A22" s="164">
        <f t="shared" si="0"/>
        <v>14</v>
      </c>
      <c r="B22" s="157" t="s">
        <v>211</v>
      </c>
      <c r="C22" s="367"/>
      <c r="D22" s="367"/>
      <c r="E22" s="367"/>
      <c r="F22" s="628"/>
      <c r="G22" s="296"/>
      <c r="H22" s="296"/>
      <c r="I22" s="485"/>
      <c r="J22" s="660"/>
      <c r="K22" s="191"/>
      <c r="L22" s="191"/>
      <c r="M22" s="191"/>
      <c r="N22" s="660"/>
      <c r="O22" s="191"/>
      <c r="P22" s="191"/>
    </row>
    <row r="23" spans="1:22" x14ac:dyDescent="0.2">
      <c r="A23" s="164">
        <f t="shared" si="0"/>
        <v>15</v>
      </c>
      <c r="B23" s="167" t="s">
        <v>214</v>
      </c>
      <c r="C23" s="902"/>
      <c r="D23" s="902">
        <f>'pü.mérleg Önkorm.'!D23+'pü.mérleg Hivatal'!E24+'püm. GAMESZ. '!D24+püm.Brunszvik!D24+'püm-TASZII.'!D24</f>
        <v>0</v>
      </c>
      <c r="E23" s="367">
        <f>SUM(C23:D23)</f>
        <v>0</v>
      </c>
      <c r="F23" s="903" t="s">
        <v>66</v>
      </c>
      <c r="G23" s="368">
        <f>SUM(G10:G21)</f>
        <v>1531945</v>
      </c>
      <c r="H23" s="368">
        <f>SUM(H10:H21)</f>
        <v>1052587.32</v>
      </c>
      <c r="I23" s="486">
        <f>SUM(I10:I21)</f>
        <v>2584532.3200000003</v>
      </c>
      <c r="J23" s="158" t="e">
        <f>'pü.mérleg Önkorm.'!#REF!+'pü.mérleg Hivatal'!#REF!+'püm. GAMESZ. '!#REF!+püm.Brunszvik!#REF!+'püm-TASZII.'!#REF!</f>
        <v>#REF!</v>
      </c>
      <c r="K23" s="158" t="e">
        <f>'pü.mérleg Önkorm.'!#REF!+'pü.mérleg Hivatal'!#REF!+'püm. GAMESZ. '!#REF!+püm.Brunszvik!#REF!+'püm-TASZII.'!#REF!</f>
        <v>#REF!</v>
      </c>
      <c r="L23" s="158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4">
        <f t="shared" si="0"/>
        <v>16</v>
      </c>
      <c r="B24" s="167" t="s">
        <v>215</v>
      </c>
      <c r="C24" s="367">
        <f>'felh. bev.  '!D14</f>
        <v>0</v>
      </c>
      <c r="D24" s="367">
        <f>'felh. bev.  '!E14</f>
        <v>0</v>
      </c>
      <c r="E24" s="367">
        <f>'felh. bev.  '!F14</f>
        <v>0</v>
      </c>
      <c r="F24" s="628"/>
      <c r="G24" s="296"/>
      <c r="H24" s="296"/>
      <c r="I24" s="485"/>
      <c r="J24" s="18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16" t="s">
        <v>216</v>
      </c>
      <c r="C25" s="663"/>
      <c r="D25" s="289">
        <f>'pü.mérleg Önkorm.'!D25</f>
        <v>0</v>
      </c>
      <c r="E25" s="367">
        <f>SUM(C25:D25)</f>
        <v>0</v>
      </c>
      <c r="F25" s="904" t="s">
        <v>241</v>
      </c>
      <c r="G25" s="370"/>
      <c r="H25" s="370"/>
      <c r="I25" s="485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67" t="s">
        <v>217</v>
      </c>
      <c r="C26" s="289"/>
      <c r="D26" s="289"/>
      <c r="E26" s="289"/>
      <c r="F26" s="516" t="s">
        <v>242</v>
      </c>
      <c r="G26" s="296">
        <f>'pü.mérleg Önkorm.'!G26+'pü.mérleg Hivatal'!H27+'püm. GAMESZ. '!G27+'püm-TASZII.'!G27+püm.Brunszvik!G27+'püm Festetics'!G27</f>
        <v>2030710</v>
      </c>
      <c r="H26" s="296">
        <f>'pü.mérleg Önkorm.'!H26+'pü.mérleg Hivatal'!I27+'püm. GAMESZ. '!H27+'püm-TASZII.'!H27+'püm Festetics'!H27</f>
        <v>50606</v>
      </c>
      <c r="I26" s="485">
        <f>SUM(G26:H26)</f>
        <v>2081316</v>
      </c>
      <c r="J26" s="158" t="e">
        <f>'pü.mérleg Önkorm.'!#REF!+'pü.mérleg Hivatal'!#REF!+'püm. GAMESZ. '!#REF!+püm.Brunszvik!#REF!+'püm-TASZII.'!#REF!</f>
        <v>#REF!</v>
      </c>
      <c r="K26" s="158" t="e">
        <f>'pü.mérleg Önkorm.'!#REF!+'pü.mérleg Hivatal'!#REF!+'püm. GAMESZ. '!#REF!+püm.Brunszvik!#REF!+'püm-TASZII.'!#REF!</f>
        <v>#REF!</v>
      </c>
      <c r="L26" s="158" t="e">
        <f>'pü.mérleg Önkorm.'!#REF!+'pü.mérleg Hivatal'!#REF!+'püm. GAMESZ. '!#REF!+püm.Brunszvik!#REF!+'püm-TASZII.'!#REF!</f>
        <v>#REF!</v>
      </c>
      <c r="M26" s="158"/>
      <c r="N26" s="158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/>
      <c r="C27" s="289"/>
      <c r="D27" s="289"/>
      <c r="E27" s="289"/>
      <c r="F27" s="516" t="s">
        <v>243</v>
      </c>
      <c r="G27" s="296">
        <f>'felhalm. kiad.  '!G19</f>
        <v>10000</v>
      </c>
      <c r="H27" s="296">
        <f>'felhalm. kiad.  '!H19</f>
        <v>0</v>
      </c>
      <c r="I27" s="485">
        <f>SUM(G27:H27)</f>
        <v>10000</v>
      </c>
      <c r="J27" s="18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57" t="s">
        <v>218</v>
      </c>
      <c r="C28" s="289">
        <f>'tám, végl. pe.átv  '!C41</f>
        <v>0</v>
      </c>
      <c r="D28" s="289">
        <f>'tám, végl. pe.átv  '!D41</f>
        <v>0</v>
      </c>
      <c r="E28" s="289">
        <f>'tám, végl. pe.átv  '!E41</f>
        <v>0</v>
      </c>
      <c r="F28" s="516" t="s">
        <v>244</v>
      </c>
      <c r="G28" s="296"/>
      <c r="H28" s="296"/>
      <c r="I28" s="485">
        <f>SUM(G28:H28)</f>
        <v>0</v>
      </c>
      <c r="J28" s="180"/>
      <c r="Q28" s="10"/>
      <c r="R28" s="10"/>
      <c r="S28" s="10"/>
      <c r="T28" s="10"/>
      <c r="U28" s="10"/>
      <c r="V28" s="10"/>
    </row>
    <row r="29" spans="1:22" s="124" customFormat="1" x14ac:dyDescent="0.2">
      <c r="A29" s="164">
        <f t="shared" si="0"/>
        <v>21</v>
      </c>
      <c r="B29" s="157" t="s">
        <v>219</v>
      </c>
      <c r="C29" s="289">
        <f>'felh. bev.  '!D29+'felh. bev.  '!D35</f>
        <v>0</v>
      </c>
      <c r="D29" s="289">
        <f>'felh. bev.  '!E29+'felh. bev.  '!E35</f>
        <v>2870</v>
      </c>
      <c r="E29" s="289">
        <f>'felh. bev.  '!F29+'felh. bev.  '!F35</f>
        <v>2870</v>
      </c>
      <c r="F29" s="901" t="s">
        <v>246</v>
      </c>
      <c r="G29" s="296">
        <f>'felhalm. kiad.  '!G70</f>
        <v>0</v>
      </c>
      <c r="H29" s="296">
        <f>'felhalm. kiad.  '!H70</f>
        <v>0</v>
      </c>
      <c r="I29" s="485">
        <f>SUM(G29:H29)</f>
        <v>0</v>
      </c>
      <c r="J29" s="660"/>
      <c r="K29" s="191"/>
      <c r="L29" s="191"/>
      <c r="M29" s="191"/>
      <c r="N29" s="191"/>
      <c r="O29" s="191"/>
      <c r="P29" s="191"/>
    </row>
    <row r="30" spans="1:22" x14ac:dyDescent="0.2">
      <c r="A30" s="164">
        <f t="shared" si="0"/>
        <v>22</v>
      </c>
      <c r="C30" s="289"/>
      <c r="D30" s="289"/>
      <c r="E30" s="289"/>
      <c r="F30" s="901" t="s">
        <v>297</v>
      </c>
      <c r="G30" s="296">
        <f>'pü.mérleg Önkorm.'!G30+'pü.mérleg Hivatal'!H31+'püm. GAMESZ. '!G31+'püm-TASZII.'!G31</f>
        <v>33252</v>
      </c>
      <c r="H30" s="296">
        <f>'pü.mérleg Önkorm.'!H30+'pü.mérleg Hivatal'!I31+'püm. GAMESZ. '!H31+'püm-TASZII.'!H31</f>
        <v>35520</v>
      </c>
      <c r="I30" s="485">
        <f>SUM(G30:H30)</f>
        <v>68772</v>
      </c>
      <c r="J30" s="158" t="e">
        <f>'pü.mérleg Önkorm.'!#REF!+'pü.mérleg Hivatal'!#REF!+'püm. GAMESZ. '!#REF!</f>
        <v>#REF!</v>
      </c>
      <c r="K30" s="158" t="e">
        <f>'pü.mérleg Önkorm.'!#REF!+'pü.mérleg Hivatal'!#REF!+'püm. GAMESZ. '!#REF!</f>
        <v>#REF!</v>
      </c>
      <c r="L30" s="158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4">
        <f t="shared" si="0"/>
        <v>23</v>
      </c>
      <c r="B31" s="174" t="s">
        <v>52</v>
      </c>
      <c r="C31" s="367">
        <f>C12+C19+C11+C16+C13+C28</f>
        <v>1461573</v>
      </c>
      <c r="D31" s="367">
        <f>D12+D19+D11+D16+D13+D28</f>
        <v>979464</v>
      </c>
      <c r="E31" s="367">
        <f>E12+E19+E11+E16+E13+E28</f>
        <v>2441037</v>
      </c>
      <c r="F31" s="516" t="s">
        <v>298</v>
      </c>
      <c r="G31" s="294">
        <f>tartalék!C18</f>
        <v>265118</v>
      </c>
      <c r="H31" s="294">
        <f>tartalék!D18</f>
        <v>0</v>
      </c>
      <c r="I31" s="485">
        <f>tartalék!E18</f>
        <v>265118</v>
      </c>
      <c r="J31" s="178"/>
      <c r="K31" s="183"/>
      <c r="L31" s="183"/>
      <c r="M31" s="183"/>
      <c r="N31" s="183"/>
      <c r="O31" s="183"/>
      <c r="P31" s="183"/>
    </row>
    <row r="32" spans="1:22" x14ac:dyDescent="0.2">
      <c r="A32" s="164">
        <f t="shared" si="0"/>
        <v>24</v>
      </c>
      <c r="B32" s="170" t="s">
        <v>67</v>
      </c>
      <c r="C32" s="905">
        <f>C14+C22+C23+C24+C25+C26+C29</f>
        <v>0</v>
      </c>
      <c r="D32" s="905">
        <f>D14+D22+D23+D24+D25+D26+D29</f>
        <v>2870</v>
      </c>
      <c r="E32" s="905">
        <f>E14+E22+E23+E24+E25+E26+E29</f>
        <v>2870</v>
      </c>
      <c r="F32" s="876" t="s">
        <v>68</v>
      </c>
      <c r="G32" s="368">
        <f>SUM(G26:G31)</f>
        <v>2339080</v>
      </c>
      <c r="H32" s="368">
        <f>SUM(H26:H31)</f>
        <v>86126</v>
      </c>
      <c r="I32" s="486">
        <f>SUM(I26:I31)</f>
        <v>2425206</v>
      </c>
      <c r="J32" s="158" t="e">
        <f>'pü.mérleg Önkorm.'!#REF!+'pü.mérleg Hivatal'!#REF!+'püm. GAMESZ. '!#REF!+püm.Brunszvik!#REF!+'püm-TASZII.'!#REF!</f>
        <v>#REF!</v>
      </c>
      <c r="K32" s="158" t="e">
        <f>'pü.mérleg Önkorm.'!#REF!+'pü.mérleg Hivatal'!#REF!+'püm. GAMESZ. '!#REF!+püm.Brunszvik!#REF!+'püm-TASZII.'!#REF!</f>
        <v>#REF!</v>
      </c>
      <c r="L32" s="158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4">
        <f t="shared" si="0"/>
        <v>25</v>
      </c>
      <c r="B33" s="178" t="s">
        <v>51</v>
      </c>
      <c r="C33" s="663">
        <f>SUM(C31:C32)</f>
        <v>1461573</v>
      </c>
      <c r="D33" s="663">
        <f>SUM(D31:D32)</f>
        <v>982334</v>
      </c>
      <c r="E33" s="663">
        <f>SUM(C33:D33)</f>
        <v>2443907</v>
      </c>
      <c r="F33" s="906" t="s">
        <v>69</v>
      </c>
      <c r="G33" s="370">
        <f>G23+G32</f>
        <v>3871025</v>
      </c>
      <c r="H33" s="370">
        <f>H23+H32</f>
        <v>1138713.32</v>
      </c>
      <c r="I33" s="458">
        <f>I23+I32</f>
        <v>5009738.32</v>
      </c>
      <c r="J33" s="18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80"/>
      <c r="C34" s="289"/>
      <c r="D34" s="289"/>
      <c r="E34" s="289"/>
      <c r="F34" s="628"/>
      <c r="G34" s="296"/>
      <c r="H34" s="296"/>
      <c r="I34" s="485"/>
      <c r="J34" s="18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812" t="s">
        <v>23</v>
      </c>
      <c r="C35" s="289">
        <f>C33-G33</f>
        <v>-2409452</v>
      </c>
      <c r="D35" s="289">
        <f t="shared" ref="D35:E35" si="1">D33-H33</f>
        <v>-156379.32000000007</v>
      </c>
      <c r="E35" s="289">
        <f t="shared" si="1"/>
        <v>-2565831.3200000003</v>
      </c>
      <c r="F35" s="903"/>
      <c r="G35" s="368"/>
      <c r="H35" s="368"/>
      <c r="I35" s="486"/>
      <c r="J35" s="180"/>
      <c r="Q35" s="10"/>
      <c r="R35" s="10"/>
      <c r="S35" s="10"/>
      <c r="T35" s="10"/>
      <c r="U35" s="10"/>
      <c r="V35" s="10"/>
    </row>
    <row r="36" spans="1:22" s="11" customFormat="1" x14ac:dyDescent="0.2">
      <c r="A36" s="164">
        <f t="shared" si="0"/>
        <v>28</v>
      </c>
      <c r="B36" s="180"/>
      <c r="C36" s="289"/>
      <c r="D36" s="289"/>
      <c r="E36" s="289"/>
      <c r="F36" s="628"/>
      <c r="G36" s="296"/>
      <c r="H36" s="296"/>
      <c r="I36" s="485"/>
      <c r="J36" s="178"/>
      <c r="K36" s="183"/>
      <c r="L36" s="183"/>
      <c r="M36" s="183"/>
      <c r="N36" s="183"/>
      <c r="O36" s="183"/>
      <c r="P36" s="183"/>
    </row>
    <row r="37" spans="1:22" s="11" customFormat="1" x14ac:dyDescent="0.2">
      <c r="A37" s="813">
        <f t="shared" si="0"/>
        <v>29</v>
      </c>
      <c r="B37" s="126" t="s">
        <v>220</v>
      </c>
      <c r="C37" s="663"/>
      <c r="D37" s="663"/>
      <c r="E37" s="663"/>
      <c r="F37" s="904" t="s">
        <v>247</v>
      </c>
      <c r="G37" s="370"/>
      <c r="H37" s="370"/>
      <c r="I37" s="458"/>
      <c r="J37" s="178"/>
      <c r="K37" s="183"/>
      <c r="L37" s="183"/>
      <c r="M37" s="183"/>
      <c r="N37" s="183"/>
      <c r="O37" s="183"/>
      <c r="P37" s="183"/>
    </row>
    <row r="38" spans="1:22" s="11" customFormat="1" x14ac:dyDescent="0.2">
      <c r="A38" s="164">
        <f t="shared" si="0"/>
        <v>30</v>
      </c>
      <c r="B38" s="136" t="s">
        <v>221</v>
      </c>
      <c r="C38" s="663"/>
      <c r="D38" s="663"/>
      <c r="E38" s="663"/>
      <c r="F38" s="907" t="s">
        <v>248</v>
      </c>
      <c r="G38" s="192"/>
      <c r="I38" s="488"/>
      <c r="J38" s="178"/>
      <c r="K38" s="183"/>
      <c r="L38" s="183"/>
      <c r="M38" s="183"/>
      <c r="N38" s="183"/>
      <c r="O38" s="183"/>
      <c r="P38" s="183"/>
    </row>
    <row r="39" spans="1:22" s="11" customFormat="1" ht="21.75" x14ac:dyDescent="0.2">
      <c r="A39" s="338">
        <f t="shared" si="0"/>
        <v>31</v>
      </c>
      <c r="B39" s="14" t="s">
        <v>1081</v>
      </c>
      <c r="C39" s="289">
        <f>'pü.mérleg Önkorm.'!C39</f>
        <v>1243160</v>
      </c>
      <c r="D39" s="289">
        <f>'pü.mérleg Önkorm.'!D39</f>
        <v>0</v>
      </c>
      <c r="E39" s="289">
        <f>'pü.mérleg Önkorm.'!E39</f>
        <v>1243160</v>
      </c>
      <c r="F39" s="193" t="s">
        <v>1012</v>
      </c>
      <c r="G39" s="370"/>
      <c r="H39" s="370"/>
      <c r="I39" s="458"/>
      <c r="J39" s="178"/>
      <c r="K39" s="183"/>
      <c r="L39" s="183"/>
      <c r="M39" s="183"/>
      <c r="N39" s="183"/>
      <c r="O39" s="183"/>
      <c r="P39" s="183"/>
    </row>
    <row r="40" spans="1:22" x14ac:dyDescent="0.2">
      <c r="A40" s="164">
        <f t="shared" si="0"/>
        <v>32</v>
      </c>
      <c r="B40" s="118" t="s">
        <v>222</v>
      </c>
      <c r="C40" s="908"/>
      <c r="D40" s="909">
        <f>'pü.mérleg Önkorm.'!D40</f>
        <v>0</v>
      </c>
      <c r="E40" s="909">
        <f>SUM(C40:D40)</f>
        <v>0</v>
      </c>
      <c r="F40" s="516" t="s">
        <v>249</v>
      </c>
      <c r="G40" s="370"/>
      <c r="H40" s="370"/>
      <c r="I40" s="458"/>
      <c r="J40" s="18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223</v>
      </c>
      <c r="C41" s="289"/>
      <c r="D41" s="289"/>
      <c r="E41" s="289"/>
      <c r="F41" s="516" t="s">
        <v>250</v>
      </c>
      <c r="G41" s="192"/>
      <c r="H41" s="192"/>
      <c r="I41" s="458"/>
      <c r="J41" s="18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592" t="s">
        <v>984</v>
      </c>
      <c r="C42" s="289">
        <f>'pü.mérleg Önkorm.'!C42+'pü.mérleg Hivatal'!D43+'püm. GAMESZ. '!C43+püm.Brunszvik!C43+'püm-TASZII.'!C43+'püm Festetics'!C43</f>
        <v>1193985</v>
      </c>
      <c r="D42" s="289">
        <f>'pü.mérleg Önkorm.'!D42+'pü.mérleg Hivatal'!E43+'püm. GAMESZ. '!D43+püm.Brunszvik!D43+'püm-TASZII.'!D43+'püm Festetics'!D43</f>
        <v>160130</v>
      </c>
      <c r="E42" s="289">
        <f>'pü.mérleg Önkorm.'!E42+'pü.mérleg Hivatal'!F43+'püm. GAMESZ. '!E43+püm.Brunszvik!E43+'püm-TASZII.'!E43+'püm Festetics'!E43</f>
        <v>1354115</v>
      </c>
      <c r="F42" s="516" t="s">
        <v>251</v>
      </c>
      <c r="G42" s="192"/>
      <c r="H42" s="192"/>
      <c r="I42" s="458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592" t="s">
        <v>1014</v>
      </c>
      <c r="C43" s="289">
        <f>'püm Festetics'!C44</f>
        <v>0</v>
      </c>
      <c r="D43" s="289">
        <f>'püm Festetics'!D44</f>
        <v>0</v>
      </c>
      <c r="E43" s="289">
        <f>'püm Festetics'!E44</f>
        <v>0</v>
      </c>
      <c r="F43" s="516"/>
      <c r="G43" s="192"/>
      <c r="H43" s="192"/>
      <c r="I43" s="458"/>
      <c r="J43" s="180"/>
      <c r="Q43" s="10"/>
      <c r="R43" s="10"/>
      <c r="S43" s="10"/>
      <c r="T43" s="10"/>
      <c r="U43" s="10"/>
      <c r="V43" s="10"/>
    </row>
    <row r="44" spans="1:22" x14ac:dyDescent="0.2">
      <c r="A44" s="164">
        <f t="shared" si="0"/>
        <v>36</v>
      </c>
      <c r="B44" s="119" t="s">
        <v>225</v>
      </c>
      <c r="C44" s="289"/>
      <c r="D44" s="289"/>
      <c r="E44" s="289"/>
      <c r="F44" s="516" t="s">
        <v>252</v>
      </c>
      <c r="G44" s="370"/>
      <c r="H44" s="370"/>
      <c r="I44" s="485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119" t="s">
        <v>226</v>
      </c>
      <c r="C45" s="663"/>
      <c r="D45" s="663"/>
      <c r="E45" s="663"/>
      <c r="F45" s="901" t="s">
        <v>253</v>
      </c>
      <c r="G45" s="296">
        <f>'pü.mérleg Önkorm.'!G45</f>
        <v>27693</v>
      </c>
      <c r="H45" s="296">
        <f>'pü.mérleg Önkorm.'!H45</f>
        <v>3751</v>
      </c>
      <c r="I45" s="485">
        <f>'pü.mérleg Önkorm.'!I45</f>
        <v>31444</v>
      </c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8" t="s">
        <v>227</v>
      </c>
      <c r="C46" s="289"/>
      <c r="D46" s="289"/>
      <c r="E46" s="289"/>
      <c r="F46" s="516" t="s">
        <v>254</v>
      </c>
      <c r="G46" s="296"/>
      <c r="H46" s="296"/>
      <c r="I46" s="485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555" t="s">
        <v>228</v>
      </c>
      <c r="C47" s="289"/>
      <c r="D47" s="289"/>
      <c r="E47" s="289"/>
      <c r="F47" s="516" t="s">
        <v>255</v>
      </c>
      <c r="G47" s="296"/>
      <c r="H47" s="296"/>
      <c r="I47" s="485"/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555" t="s">
        <v>229</v>
      </c>
      <c r="C48" s="289"/>
      <c r="D48" s="289"/>
      <c r="E48" s="289"/>
      <c r="F48" s="516" t="s">
        <v>256</v>
      </c>
      <c r="G48" s="296"/>
      <c r="H48" s="296"/>
      <c r="I48" s="485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118" t="s">
        <v>230</v>
      </c>
      <c r="C49" s="289">
        <f>'pü.mérleg Önkorm.'!C49</f>
        <v>0</v>
      </c>
      <c r="D49" s="289">
        <f>'pü.mérleg Önkorm.'!D49</f>
        <v>0</v>
      </c>
      <c r="E49" s="289">
        <f>SUM(C49:D49)</f>
        <v>0</v>
      </c>
      <c r="F49" s="516" t="s">
        <v>257</v>
      </c>
      <c r="G49" s="296"/>
      <c r="H49" s="296"/>
      <c r="I49" s="485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118"/>
      <c r="C50" s="289"/>
      <c r="D50" s="289"/>
      <c r="E50" s="289"/>
      <c r="F50" s="516" t="s">
        <v>258</v>
      </c>
      <c r="G50" s="296"/>
      <c r="H50" s="296"/>
      <c r="I50" s="485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/>
      <c r="C51" s="289"/>
      <c r="D51" s="289"/>
      <c r="E51" s="289"/>
      <c r="F51" s="516" t="s">
        <v>259</v>
      </c>
      <c r="G51" s="296"/>
      <c r="H51" s="296"/>
      <c r="I51" s="485"/>
      <c r="J51" s="180"/>
      <c r="Q51" s="10"/>
      <c r="R51" s="10"/>
      <c r="S51" s="10"/>
      <c r="T51" s="10"/>
      <c r="U51" s="10"/>
      <c r="V51" s="10"/>
    </row>
    <row r="52" spans="1:22" ht="12" thickBot="1" x14ac:dyDescent="0.25">
      <c r="A52" s="164">
        <f t="shared" si="0"/>
        <v>44</v>
      </c>
      <c r="B52" s="178" t="s">
        <v>474</v>
      </c>
      <c r="C52" s="663">
        <f>SUM(C38:C50)</f>
        <v>2437145</v>
      </c>
      <c r="D52" s="663">
        <f>SUM(D38:D50)</f>
        <v>160130</v>
      </c>
      <c r="E52" s="663">
        <f>SUM(E38:E50)</f>
        <v>2597275</v>
      </c>
      <c r="F52" s="904" t="s">
        <v>467</v>
      </c>
      <c r="G52" s="370">
        <f>SUM(G38:G51)</f>
        <v>27693</v>
      </c>
      <c r="H52" s="370">
        <f>SUM(H38:H51)</f>
        <v>3751</v>
      </c>
      <c r="I52" s="458">
        <f>SUM(I38:I51)</f>
        <v>31444</v>
      </c>
      <c r="J52" s="180"/>
      <c r="Q52" s="10"/>
      <c r="R52" s="10"/>
      <c r="S52" s="10"/>
      <c r="T52" s="10"/>
      <c r="U52" s="10"/>
      <c r="V52" s="10"/>
    </row>
    <row r="53" spans="1:22" ht="12" thickBot="1" x14ac:dyDescent="0.25">
      <c r="A53" s="987">
        <f t="shared" si="0"/>
        <v>45</v>
      </c>
      <c r="B53" s="308" t="s">
        <v>469</v>
      </c>
      <c r="C53" s="960">
        <f>C33+C52</f>
        <v>3898718</v>
      </c>
      <c r="D53" s="960">
        <f>D33+D52</f>
        <v>1142464</v>
      </c>
      <c r="E53" s="961">
        <f>E33+E52</f>
        <v>5041182</v>
      </c>
      <c r="F53" s="611" t="s">
        <v>468</v>
      </c>
      <c r="G53" s="988">
        <f>G33+G52</f>
        <v>3898718</v>
      </c>
      <c r="H53" s="988">
        <f>H33+H52</f>
        <v>1142464.32</v>
      </c>
      <c r="I53" s="989">
        <f>I33+I52</f>
        <v>5041182.32</v>
      </c>
      <c r="J53" s="180"/>
      <c r="Q53" s="10"/>
      <c r="R53" s="10"/>
      <c r="S53" s="10"/>
      <c r="T53" s="10"/>
      <c r="U53" s="10"/>
      <c r="V53" s="10"/>
    </row>
    <row r="54" spans="1:22" x14ac:dyDescent="0.2">
      <c r="B54" s="183"/>
      <c r="C54" s="182"/>
      <c r="D54" s="182"/>
      <c r="E54" s="182"/>
      <c r="F54" s="182"/>
      <c r="G54" s="182"/>
      <c r="H54" s="182"/>
      <c r="I54" s="182"/>
      <c r="T54" s="10"/>
      <c r="U54" s="10"/>
      <c r="V54" s="10"/>
    </row>
    <row r="55" spans="1:22" s="11" customFormat="1" ht="12.75" x14ac:dyDescent="0.2">
      <c r="A55" s="183"/>
      <c r="B55" s="178"/>
      <c r="C55" s="182"/>
      <c r="D55" s="182"/>
      <c r="E55" s="454">
        <f>E53-I53</f>
        <v>-0.32000000029802322</v>
      </c>
      <c r="F55" s="182"/>
      <c r="G55" s="182"/>
      <c r="H55" s="182"/>
      <c r="I55" s="182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6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61"/>
  <sheetViews>
    <sheetView topLeftCell="B1" workbookViewId="0">
      <selection activeCell="N45" sqref="N45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196" t="s">
        <v>1234</v>
      </c>
      <c r="C1" s="1196"/>
      <c r="D1" s="1196"/>
      <c r="E1" s="1196"/>
      <c r="F1" s="1196"/>
    </row>
    <row r="2" spans="1:7" x14ac:dyDescent="0.2">
      <c r="B2" s="298"/>
      <c r="C2" s="298"/>
      <c r="D2" s="298"/>
      <c r="E2" s="298"/>
      <c r="F2" s="298"/>
    </row>
    <row r="3" spans="1:7" x14ac:dyDescent="0.2">
      <c r="B3" s="1202" t="s">
        <v>488</v>
      </c>
      <c r="C3" s="1203"/>
      <c r="D3" s="1203"/>
      <c r="E3" s="1203"/>
      <c r="F3" s="1203"/>
    </row>
    <row r="4" spans="1:7" x14ac:dyDescent="0.2">
      <c r="B4" s="1203" t="s">
        <v>1164</v>
      </c>
      <c r="C4" s="1203"/>
      <c r="D4" s="1203"/>
      <c r="E4" s="1204"/>
      <c r="F4" s="1204"/>
    </row>
    <row r="5" spans="1:7" x14ac:dyDescent="0.2">
      <c r="B5" s="144"/>
      <c r="C5" s="144"/>
      <c r="D5" s="144"/>
      <c r="E5" s="299"/>
      <c r="F5" s="299"/>
    </row>
    <row r="6" spans="1:7" x14ac:dyDescent="0.2">
      <c r="B6" s="144"/>
      <c r="C6" s="144"/>
      <c r="D6" s="144"/>
      <c r="E6" s="299"/>
      <c r="F6" s="299"/>
    </row>
    <row r="7" spans="1:7" ht="12.75" x14ac:dyDescent="0.2">
      <c r="B7" s="144"/>
      <c r="C7" s="1197" t="s">
        <v>321</v>
      </c>
      <c r="D7" s="1198"/>
      <c r="E7" s="1198"/>
      <c r="F7" s="1198"/>
    </row>
    <row r="8" spans="1:7" ht="19.149999999999999" customHeight="1" x14ac:dyDescent="0.2">
      <c r="B8" s="1199" t="s">
        <v>77</v>
      </c>
      <c r="C8" s="1200" t="s">
        <v>86</v>
      </c>
      <c r="D8" s="1201" t="s">
        <v>1125</v>
      </c>
      <c r="E8" s="1201"/>
      <c r="F8" s="1201"/>
    </row>
    <row r="9" spans="1:7" s="8" customFormat="1" ht="42.75" customHeight="1" x14ac:dyDescent="0.2">
      <c r="A9" s="149"/>
      <c r="B9" s="1199"/>
      <c r="C9" s="1200"/>
      <c r="D9" s="933" t="s">
        <v>62</v>
      </c>
      <c r="E9" s="933" t="s">
        <v>63</v>
      </c>
      <c r="F9" s="933" t="s">
        <v>64</v>
      </c>
    </row>
    <row r="10" spans="1:7" ht="14.25" customHeight="1" x14ac:dyDescent="0.2">
      <c r="B10" s="150" t="s">
        <v>508</v>
      </c>
      <c r="C10" s="934" t="s">
        <v>460</v>
      </c>
      <c r="D10" s="935"/>
      <c r="E10" s="147"/>
      <c r="F10" s="936"/>
      <c r="G10" s="621"/>
    </row>
    <row r="11" spans="1:7" ht="28.9" customHeight="1" x14ac:dyDescent="0.2">
      <c r="B11" s="990" t="s">
        <v>516</v>
      </c>
      <c r="C11" s="991" t="s">
        <v>480</v>
      </c>
      <c r="D11" s="945"/>
      <c r="E11" s="992"/>
      <c r="F11" s="945"/>
      <c r="G11" s="621"/>
    </row>
    <row r="12" spans="1:7" x14ac:dyDescent="0.2">
      <c r="B12" s="150" t="s">
        <v>517</v>
      </c>
      <c r="C12" s="938" t="s">
        <v>461</v>
      </c>
      <c r="D12" s="662"/>
      <c r="E12" s="147"/>
      <c r="F12" s="662"/>
      <c r="G12" s="621"/>
    </row>
    <row r="13" spans="1:7" x14ac:dyDescent="0.2">
      <c r="B13" s="150" t="s">
        <v>518</v>
      </c>
      <c r="C13" s="938" t="s">
        <v>1119</v>
      </c>
      <c r="D13" s="662"/>
      <c r="E13" s="147">
        <v>17000</v>
      </c>
      <c r="F13" s="662">
        <f t="shared" ref="F13:F20" si="0">SUM(D13:E13)</f>
        <v>17000</v>
      </c>
      <c r="G13" s="621"/>
    </row>
    <row r="14" spans="1:7" x14ac:dyDescent="0.2">
      <c r="B14" s="150" t="s">
        <v>519</v>
      </c>
      <c r="C14" s="938" t="s">
        <v>1118</v>
      </c>
      <c r="D14" s="662"/>
      <c r="E14" s="147">
        <v>22000</v>
      </c>
      <c r="F14" s="662">
        <f t="shared" si="0"/>
        <v>22000</v>
      </c>
      <c r="G14" s="621"/>
    </row>
    <row r="15" spans="1:7" x14ac:dyDescent="0.2">
      <c r="B15" s="150" t="s">
        <v>520</v>
      </c>
      <c r="C15" s="938" t="s">
        <v>955</v>
      </c>
      <c r="D15" s="662">
        <v>0</v>
      </c>
      <c r="E15" s="147"/>
      <c r="F15" s="662">
        <f t="shared" si="0"/>
        <v>0</v>
      </c>
      <c r="G15" s="621"/>
    </row>
    <row r="16" spans="1:7" x14ac:dyDescent="0.2">
      <c r="B16" s="150" t="s">
        <v>521</v>
      </c>
      <c r="C16" s="938" t="s">
        <v>462</v>
      </c>
      <c r="D16" s="662">
        <v>4500</v>
      </c>
      <c r="E16" s="147"/>
      <c r="F16" s="662">
        <f t="shared" si="0"/>
        <v>4500</v>
      </c>
      <c r="G16" s="621"/>
    </row>
    <row r="17" spans="1:7" x14ac:dyDescent="0.2">
      <c r="B17" s="150" t="s">
        <v>522</v>
      </c>
      <c r="C17" s="939" t="s">
        <v>463</v>
      </c>
      <c r="D17" s="662">
        <v>2000</v>
      </c>
      <c r="E17" s="147"/>
      <c r="F17" s="662">
        <f t="shared" si="0"/>
        <v>2000</v>
      </c>
      <c r="G17" s="621"/>
    </row>
    <row r="18" spans="1:7" ht="13.5" customHeight="1" x14ac:dyDescent="0.2">
      <c r="B18" s="150" t="s">
        <v>523</v>
      </c>
      <c r="C18" s="939" t="s">
        <v>496</v>
      </c>
      <c r="D18" s="662">
        <v>1250</v>
      </c>
      <c r="E18" s="662"/>
      <c r="F18" s="662">
        <f t="shared" si="0"/>
        <v>1250</v>
      </c>
      <c r="G18" s="621"/>
    </row>
    <row r="19" spans="1:7" ht="13.5" customHeight="1" x14ac:dyDescent="0.2">
      <c r="B19" s="150" t="s">
        <v>565</v>
      </c>
      <c r="C19" s="1016" t="s">
        <v>328</v>
      </c>
      <c r="D19" s="1017"/>
      <c r="E19" s="1018">
        <v>50</v>
      </c>
      <c r="F19" s="1017">
        <f t="shared" si="0"/>
        <v>50</v>
      </c>
      <c r="G19" s="621"/>
    </row>
    <row r="20" spans="1:7" ht="13.5" customHeight="1" x14ac:dyDescent="0.2">
      <c r="B20" s="150" t="s">
        <v>566</v>
      </c>
      <c r="C20" s="1016" t="s">
        <v>1154</v>
      </c>
      <c r="D20" s="1017"/>
      <c r="E20" s="1018">
        <v>1112</v>
      </c>
      <c r="F20" s="1017">
        <f t="shared" si="0"/>
        <v>1112</v>
      </c>
      <c r="G20" s="621"/>
    </row>
    <row r="21" spans="1:7" ht="15" customHeight="1" x14ac:dyDescent="0.2">
      <c r="B21" s="150" t="s">
        <v>567</v>
      </c>
      <c r="C21" s="937" t="s">
        <v>481</v>
      </c>
      <c r="D21" s="941">
        <f>SUM(D13:D20)</f>
        <v>7750</v>
      </c>
      <c r="E21" s="941">
        <f t="shared" ref="E21:F21" si="1">SUM(E13:E20)</f>
        <v>40162</v>
      </c>
      <c r="F21" s="941">
        <f t="shared" si="1"/>
        <v>47912</v>
      </c>
      <c r="G21" s="621"/>
    </row>
    <row r="22" spans="1:7" x14ac:dyDescent="0.2">
      <c r="B22" s="150" t="s">
        <v>568</v>
      </c>
      <c r="C22" s="942"/>
      <c r="D22" s="662"/>
      <c r="E22" s="940"/>
      <c r="F22" s="662"/>
      <c r="G22" s="621"/>
    </row>
    <row r="23" spans="1:7" x14ac:dyDescent="0.2">
      <c r="B23" s="150" t="s">
        <v>569</v>
      </c>
      <c r="C23" s="943" t="s">
        <v>482</v>
      </c>
      <c r="D23" s="662"/>
      <c r="E23" s="940"/>
      <c r="F23" s="662"/>
      <c r="G23" s="621"/>
    </row>
    <row r="24" spans="1:7" s="8" customFormat="1" ht="15.6" customHeight="1" x14ac:dyDescent="0.2">
      <c r="A24" s="149"/>
      <c r="B24" s="150" t="s">
        <v>570</v>
      </c>
      <c r="C24" s="944" t="s">
        <v>497</v>
      </c>
      <c r="D24" s="662">
        <v>103258</v>
      </c>
      <c r="E24" s="940"/>
      <c r="F24" s="662">
        <f>D24</f>
        <v>103258</v>
      </c>
      <c r="G24" s="620"/>
    </row>
    <row r="25" spans="1:7" s="8" customFormat="1" ht="12" customHeight="1" x14ac:dyDescent="0.2">
      <c r="A25" s="149"/>
      <c r="B25" s="150" t="s">
        <v>571</v>
      </c>
      <c r="C25" s="944" t="s">
        <v>333</v>
      </c>
      <c r="D25" s="662">
        <v>12627</v>
      </c>
      <c r="E25" s="940"/>
      <c r="F25" s="662">
        <f t="shared" ref="F25:F30" si="2">SUM(D25:E25)</f>
        <v>12627</v>
      </c>
      <c r="G25" s="620"/>
    </row>
    <row r="26" spans="1:7" s="8" customFormat="1" ht="12" customHeight="1" x14ac:dyDescent="0.2">
      <c r="A26" s="149"/>
      <c r="B26" s="150" t="s">
        <v>572</v>
      </c>
      <c r="C26" s="944" t="s">
        <v>1028</v>
      </c>
      <c r="D26" s="662"/>
      <c r="E26" s="940"/>
      <c r="F26" s="662">
        <f t="shared" si="2"/>
        <v>0</v>
      </c>
      <c r="G26" s="620"/>
    </row>
    <row r="27" spans="1:7" s="8" customFormat="1" x14ac:dyDescent="0.2">
      <c r="A27" s="149"/>
      <c r="B27" s="150" t="s">
        <v>574</v>
      </c>
      <c r="C27" s="942" t="s">
        <v>1176</v>
      </c>
      <c r="D27" s="662">
        <v>19500</v>
      </c>
      <c r="E27" s="940"/>
      <c r="F27" s="662">
        <f t="shared" si="2"/>
        <v>19500</v>
      </c>
      <c r="G27" s="620"/>
    </row>
    <row r="28" spans="1:7" s="8" customFormat="1" x14ac:dyDescent="0.2">
      <c r="A28" s="149"/>
      <c r="B28" s="150" t="s">
        <v>575</v>
      </c>
      <c r="C28" s="942" t="s">
        <v>331</v>
      </c>
      <c r="D28" s="662">
        <v>75000</v>
      </c>
      <c r="E28" s="940"/>
      <c r="F28" s="662">
        <f t="shared" si="2"/>
        <v>75000</v>
      </c>
      <c r="G28" s="620"/>
    </row>
    <row r="29" spans="1:7" s="8" customFormat="1" x14ac:dyDescent="0.2">
      <c r="A29" s="149"/>
      <c r="B29" s="150" t="s">
        <v>576</v>
      </c>
      <c r="C29" s="942" t="s">
        <v>1172</v>
      </c>
      <c r="D29" s="662">
        <v>5000</v>
      </c>
      <c r="E29" s="940"/>
      <c r="F29" s="662">
        <f t="shared" si="2"/>
        <v>5000</v>
      </c>
      <c r="G29" s="620"/>
    </row>
    <row r="30" spans="1:7" s="8" customFormat="1" x14ac:dyDescent="0.2">
      <c r="A30" s="149"/>
      <c r="B30" s="150" t="s">
        <v>577</v>
      </c>
      <c r="C30" s="942" t="s">
        <v>72</v>
      </c>
      <c r="D30" s="662">
        <v>50000</v>
      </c>
      <c r="E30" s="940"/>
      <c r="F30" s="662">
        <f t="shared" si="2"/>
        <v>50000</v>
      </c>
      <c r="G30" s="620"/>
    </row>
    <row r="31" spans="1:7" s="8" customFormat="1" x14ac:dyDescent="0.2">
      <c r="A31" s="149"/>
      <c r="B31" s="150" t="s">
        <v>579</v>
      </c>
      <c r="C31" s="845" t="s">
        <v>193</v>
      </c>
      <c r="D31" s="945"/>
      <c r="E31" s="946">
        <v>3500</v>
      </c>
      <c r="F31" s="945">
        <f>D31+E31</f>
        <v>3500</v>
      </c>
      <c r="G31" s="620"/>
    </row>
    <row r="32" spans="1:7" s="8" customFormat="1" x14ac:dyDescent="0.2">
      <c r="A32" s="149"/>
      <c r="B32" s="150" t="s">
        <v>580</v>
      </c>
      <c r="C32" s="845" t="s">
        <v>332</v>
      </c>
      <c r="D32" s="945"/>
      <c r="E32" s="946">
        <v>3500</v>
      </c>
      <c r="F32" s="945">
        <f>D32+E32</f>
        <v>3500</v>
      </c>
      <c r="G32" s="620"/>
    </row>
    <row r="33" spans="1:7" s="8" customFormat="1" x14ac:dyDescent="0.2">
      <c r="A33" s="149"/>
      <c r="B33" s="150" t="s">
        <v>581</v>
      </c>
      <c r="C33" s="845" t="s">
        <v>334</v>
      </c>
      <c r="D33" s="945"/>
      <c r="E33" s="946">
        <v>310</v>
      </c>
      <c r="F33" s="945">
        <f>D33+E33</f>
        <v>310</v>
      </c>
      <c r="G33" s="620"/>
    </row>
    <row r="34" spans="1:7" s="8" customFormat="1" x14ac:dyDescent="0.2">
      <c r="A34" s="149"/>
      <c r="B34" s="150" t="s">
        <v>601</v>
      </c>
      <c r="C34" s="942" t="s">
        <v>335</v>
      </c>
      <c r="D34" s="945"/>
      <c r="E34" s="946">
        <v>1500</v>
      </c>
      <c r="F34" s="945">
        <f>E34</f>
        <v>1500</v>
      </c>
      <c r="G34" s="620"/>
    </row>
    <row r="35" spans="1:7" s="8" customFormat="1" x14ac:dyDescent="0.2">
      <c r="A35" s="149"/>
      <c r="B35" s="150" t="s">
        <v>602</v>
      </c>
      <c r="C35" s="942" t="s">
        <v>181</v>
      </c>
      <c r="D35" s="945"/>
      <c r="E35" s="946">
        <v>1000</v>
      </c>
      <c r="F35" s="945">
        <v>1000</v>
      </c>
      <c r="G35" s="620"/>
    </row>
    <row r="36" spans="1:7" s="8" customFormat="1" x14ac:dyDescent="0.2">
      <c r="A36" s="149"/>
      <c r="B36" s="150" t="s">
        <v>603</v>
      </c>
      <c r="C36" s="942" t="s">
        <v>182</v>
      </c>
      <c r="D36" s="945"/>
      <c r="E36" s="946">
        <v>300</v>
      </c>
      <c r="F36" s="945">
        <f t="shared" ref="F36:F49" si="3">D36+E36</f>
        <v>300</v>
      </c>
      <c r="G36" s="620"/>
    </row>
    <row r="37" spans="1:7" s="8" customFormat="1" x14ac:dyDescent="0.2">
      <c r="A37" s="149"/>
      <c r="B37" s="150" t="s">
        <v>604</v>
      </c>
      <c r="C37" s="942" t="s">
        <v>183</v>
      </c>
      <c r="D37" s="945"/>
      <c r="E37" s="946">
        <v>2000</v>
      </c>
      <c r="F37" s="945">
        <f t="shared" si="3"/>
        <v>2000</v>
      </c>
      <c r="G37" s="620"/>
    </row>
    <row r="38" spans="1:7" s="8" customFormat="1" x14ac:dyDescent="0.2">
      <c r="A38" s="149"/>
      <c r="B38" s="150" t="s">
        <v>605</v>
      </c>
      <c r="C38" s="942" t="s">
        <v>304</v>
      </c>
      <c r="D38" s="945"/>
      <c r="E38" s="946">
        <v>1000</v>
      </c>
      <c r="F38" s="945">
        <f t="shared" si="3"/>
        <v>1000</v>
      </c>
      <c r="G38" s="620"/>
    </row>
    <row r="39" spans="1:7" s="8" customFormat="1" x14ac:dyDescent="0.2">
      <c r="A39" s="149"/>
      <c r="B39" s="150" t="s">
        <v>606</v>
      </c>
      <c r="C39" s="942" t="s">
        <v>305</v>
      </c>
      <c r="D39" s="945"/>
      <c r="E39" s="946">
        <v>2000</v>
      </c>
      <c r="F39" s="945">
        <f t="shared" si="3"/>
        <v>2000</v>
      </c>
      <c r="G39" s="620"/>
    </row>
    <row r="40" spans="1:7" s="8" customFormat="1" x14ac:dyDescent="0.2">
      <c r="A40" s="149"/>
      <c r="B40" s="150" t="s">
        <v>607</v>
      </c>
      <c r="C40" s="942" t="s">
        <v>989</v>
      </c>
      <c r="D40" s="945"/>
      <c r="E40" s="946">
        <v>1000</v>
      </c>
      <c r="F40" s="945">
        <f t="shared" si="3"/>
        <v>1000</v>
      </c>
      <c r="G40" s="620"/>
    </row>
    <row r="41" spans="1:7" s="8" customFormat="1" x14ac:dyDescent="0.2">
      <c r="A41" s="149"/>
      <c r="B41" s="150" t="s">
        <v>608</v>
      </c>
      <c r="C41" s="942" t="s">
        <v>990</v>
      </c>
      <c r="D41" s="945"/>
      <c r="E41" s="946">
        <v>400</v>
      </c>
      <c r="F41" s="945">
        <f t="shared" si="3"/>
        <v>400</v>
      </c>
      <c r="G41" s="620"/>
    </row>
    <row r="42" spans="1:7" s="8" customFormat="1" x14ac:dyDescent="0.2">
      <c r="A42" s="149"/>
      <c r="B42" s="150" t="s">
        <v>609</v>
      </c>
      <c r="C42" s="942" t="s">
        <v>1024</v>
      </c>
      <c r="D42" s="945"/>
      <c r="E42" s="946">
        <v>100</v>
      </c>
      <c r="F42" s="945">
        <f t="shared" si="3"/>
        <v>100</v>
      </c>
      <c r="G42" s="620"/>
    </row>
    <row r="43" spans="1:7" s="8" customFormat="1" ht="12.75" customHeight="1" x14ac:dyDescent="0.2">
      <c r="A43" s="149"/>
      <c r="B43" s="150" t="s">
        <v>664</v>
      </c>
      <c r="C43" s="942" t="s">
        <v>1175</v>
      </c>
      <c r="D43" s="945"/>
      <c r="E43" s="946">
        <v>900</v>
      </c>
      <c r="F43" s="945">
        <f t="shared" si="3"/>
        <v>900</v>
      </c>
      <c r="G43" s="620"/>
    </row>
    <row r="44" spans="1:7" s="8" customFormat="1" x14ac:dyDescent="0.2">
      <c r="A44" s="149"/>
      <c r="B44" s="150" t="s">
        <v>665</v>
      </c>
      <c r="C44" s="942" t="s">
        <v>1025</v>
      </c>
      <c r="D44" s="945"/>
      <c r="E44" s="946">
        <v>100</v>
      </c>
      <c r="F44" s="945">
        <f t="shared" si="3"/>
        <v>100</v>
      </c>
      <c r="G44" s="620"/>
    </row>
    <row r="45" spans="1:7" s="8" customFormat="1" x14ac:dyDescent="0.2">
      <c r="A45" s="149"/>
      <c r="B45" s="150" t="s">
        <v>666</v>
      </c>
      <c r="C45" s="1019" t="s">
        <v>1026</v>
      </c>
      <c r="D45" s="1020"/>
      <c r="E45" s="1021">
        <v>50</v>
      </c>
      <c r="F45" s="1020">
        <f t="shared" si="3"/>
        <v>50</v>
      </c>
      <c r="G45" s="620"/>
    </row>
    <row r="46" spans="1:7" s="8" customFormat="1" x14ac:dyDescent="0.2">
      <c r="A46" s="149"/>
      <c r="B46" s="150" t="s">
        <v>667</v>
      </c>
      <c r="C46" s="1019" t="s">
        <v>1027</v>
      </c>
      <c r="D46" s="1020"/>
      <c r="E46" s="1021">
        <v>821</v>
      </c>
      <c r="F46" s="1020">
        <f t="shared" si="3"/>
        <v>821</v>
      </c>
      <c r="G46" s="620"/>
    </row>
    <row r="47" spans="1:7" s="8" customFormat="1" x14ac:dyDescent="0.2">
      <c r="A47" s="149"/>
      <c r="B47" s="150" t="s">
        <v>125</v>
      </c>
      <c r="C47" s="1019" t="s">
        <v>1173</v>
      </c>
      <c r="D47" s="1020"/>
      <c r="E47" s="1021">
        <v>50</v>
      </c>
      <c r="F47" s="1020">
        <f t="shared" si="3"/>
        <v>50</v>
      </c>
      <c r="G47" s="620"/>
    </row>
    <row r="48" spans="1:7" s="8" customFormat="1" ht="24" x14ac:dyDescent="0.2">
      <c r="A48" s="149"/>
      <c r="B48" s="990" t="s">
        <v>693</v>
      </c>
      <c r="C48" s="1019" t="s">
        <v>1174</v>
      </c>
      <c r="D48" s="1020"/>
      <c r="E48" s="1021">
        <v>150</v>
      </c>
      <c r="F48" s="1020">
        <f t="shared" si="3"/>
        <v>150</v>
      </c>
      <c r="G48" s="620"/>
    </row>
    <row r="49" spans="1:7" s="8" customFormat="1" x14ac:dyDescent="0.2">
      <c r="A49" s="149"/>
      <c r="B49" s="990" t="s">
        <v>694</v>
      </c>
      <c r="C49" s="1019" t="s">
        <v>1195</v>
      </c>
      <c r="D49" s="1020"/>
      <c r="E49" s="1021">
        <v>127</v>
      </c>
      <c r="F49" s="1020">
        <f t="shared" si="3"/>
        <v>127</v>
      </c>
      <c r="G49" s="620"/>
    </row>
    <row r="50" spans="1:7" s="8" customFormat="1" x14ac:dyDescent="0.2">
      <c r="A50" s="149"/>
      <c r="B50" s="990" t="s">
        <v>128</v>
      </c>
      <c r="C50" s="942" t="s">
        <v>1145</v>
      </c>
      <c r="D50" s="945">
        <v>800</v>
      </c>
      <c r="E50" s="946">
        <v>1100</v>
      </c>
      <c r="F50" s="945">
        <f>SUM(D50:E50)</f>
        <v>1900</v>
      </c>
      <c r="G50" s="620"/>
    </row>
    <row r="51" spans="1:7" s="8" customFormat="1" x14ac:dyDescent="0.2">
      <c r="A51" s="149"/>
      <c r="B51" s="990" t="s">
        <v>129</v>
      </c>
      <c r="C51" s="943" t="s">
        <v>483</v>
      </c>
      <c r="D51" s="941">
        <f>SUM(D23:D50)</f>
        <v>266185</v>
      </c>
      <c r="E51" s="941">
        <f>SUM(E23:E50)</f>
        <v>19908</v>
      </c>
      <c r="F51" s="941">
        <f>SUM(F23:F50)</f>
        <v>286093</v>
      </c>
      <c r="G51" s="620"/>
    </row>
    <row r="52" spans="1:7" x14ac:dyDescent="0.2">
      <c r="B52" s="990" t="s">
        <v>130</v>
      </c>
      <c r="C52" s="947"/>
      <c r="D52" s="662"/>
      <c r="E52" s="940"/>
      <c r="F52" s="662"/>
      <c r="G52" s="621"/>
    </row>
    <row r="53" spans="1:7" ht="14.25" customHeight="1" x14ac:dyDescent="0.2">
      <c r="B53" s="990" t="s">
        <v>133</v>
      </c>
      <c r="C53" s="937" t="s">
        <v>484</v>
      </c>
      <c r="D53" s="662">
        <f>D21</f>
        <v>7750</v>
      </c>
      <c r="E53" s="940">
        <f>E21</f>
        <v>40162</v>
      </c>
      <c r="F53" s="662">
        <f>F21</f>
        <v>47912</v>
      </c>
      <c r="G53" s="621"/>
    </row>
    <row r="54" spans="1:7" ht="14.25" customHeight="1" x14ac:dyDescent="0.2">
      <c r="B54" s="990" t="s">
        <v>136</v>
      </c>
      <c r="C54" s="943" t="s">
        <v>485</v>
      </c>
      <c r="D54" s="662">
        <f>D51</f>
        <v>266185</v>
      </c>
      <c r="E54" s="147">
        <f>E51</f>
        <v>19908</v>
      </c>
      <c r="F54" s="662">
        <f>F51</f>
        <v>286093</v>
      </c>
      <c r="G54" s="621"/>
    </row>
    <row r="55" spans="1:7" ht="12.75" thickBot="1" x14ac:dyDescent="0.25">
      <c r="B55" s="990" t="s">
        <v>137</v>
      </c>
      <c r="C55" s="938"/>
      <c r="D55" s="662"/>
      <c r="E55" s="147"/>
      <c r="F55" s="662"/>
      <c r="G55" s="621"/>
    </row>
    <row r="56" spans="1:7" ht="12.75" thickBot="1" x14ac:dyDescent="0.25">
      <c r="B56" s="990" t="s">
        <v>138</v>
      </c>
      <c r="C56" s="948" t="s">
        <v>670</v>
      </c>
      <c r="D56" s="949">
        <f>D53+D54</f>
        <v>273935</v>
      </c>
      <c r="E56" s="949">
        <f>E53+E54</f>
        <v>60070</v>
      </c>
      <c r="F56" s="950">
        <f>F53+F54</f>
        <v>334005</v>
      </c>
    </row>
    <row r="57" spans="1:7" x14ac:dyDescent="0.2">
      <c r="B57" s="150"/>
    </row>
    <row r="58" spans="1:7" x14ac:dyDescent="0.2">
      <c r="B58" s="150"/>
    </row>
    <row r="59" spans="1:7" x14ac:dyDescent="0.2">
      <c r="B59" s="150"/>
    </row>
    <row r="60" spans="1:7" x14ac:dyDescent="0.2">
      <c r="B60" s="150"/>
    </row>
    <row r="61" spans="1:7" x14ac:dyDescent="0.2">
      <c r="B61" s="150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8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25"/>
  <sheetViews>
    <sheetView workbookViewId="0">
      <pane xSplit="2" ySplit="9" topLeftCell="C88" activePane="bottomRight" state="frozen"/>
      <selection activeCell="B65" sqref="B65"/>
      <selection pane="topRight" activeCell="B65" sqref="B65"/>
      <selection pane="bottomLeft" activeCell="B65" sqref="B65"/>
      <selection pane="bottomRight" activeCell="O87" sqref="O87"/>
    </sheetView>
  </sheetViews>
  <sheetFormatPr defaultColWidth="9.140625" defaultRowHeight="14.1" customHeight="1" x14ac:dyDescent="0.2"/>
  <cols>
    <col min="1" max="1" width="3.7109375" style="333" customWidth="1"/>
    <col min="2" max="2" width="41.42578125" style="348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205" t="s">
        <v>1235</v>
      </c>
      <c r="B1" s="1205"/>
      <c r="C1" s="1205"/>
      <c r="D1" s="1205"/>
      <c r="E1" s="1205"/>
      <c r="F1" s="1205"/>
      <c r="G1" s="1179"/>
      <c r="H1" s="1179"/>
    </row>
    <row r="2" spans="1:9" ht="14.1" customHeight="1" x14ac:dyDescent="0.2">
      <c r="A2" s="1206" t="s">
        <v>78</v>
      </c>
      <c r="B2" s="1206"/>
      <c r="C2" s="1206"/>
      <c r="D2" s="1206"/>
      <c r="E2" s="1206"/>
      <c r="F2" s="1206"/>
      <c r="G2" s="1179"/>
      <c r="H2" s="1179"/>
    </row>
    <row r="3" spans="1:9" ht="14.1" customHeight="1" x14ac:dyDescent="0.2">
      <c r="A3" s="349"/>
      <c r="B3" s="1217" t="s">
        <v>1165</v>
      </c>
      <c r="C3" s="1217"/>
      <c r="D3" s="1217"/>
      <c r="E3" s="1217"/>
      <c r="F3" s="1217"/>
      <c r="G3" s="1217"/>
      <c r="H3" s="1217"/>
    </row>
    <row r="4" spans="1:9" ht="14.25" customHeight="1" thickBot="1" x14ac:dyDescent="0.25">
      <c r="A4" s="1209" t="s">
        <v>321</v>
      </c>
      <c r="B4" s="1209"/>
      <c r="C4" s="1209"/>
      <c r="D4" s="1209"/>
      <c r="E4" s="1209"/>
      <c r="F4" s="1209"/>
      <c r="G4" s="1210"/>
      <c r="H4" s="1210"/>
    </row>
    <row r="5" spans="1:9" ht="24" customHeight="1" thickBot="1" x14ac:dyDescent="0.25">
      <c r="A5" s="1211" t="s">
        <v>498</v>
      </c>
      <c r="B5" s="346" t="s">
        <v>57</v>
      </c>
      <c r="C5" s="87" t="s">
        <v>58</v>
      </c>
      <c r="D5" s="87" t="s">
        <v>59</v>
      </c>
      <c r="E5" s="87" t="s">
        <v>60</v>
      </c>
      <c r="F5" s="88" t="s">
        <v>499</v>
      </c>
      <c r="G5" s="88" t="s">
        <v>500</v>
      </c>
      <c r="H5" s="562" t="s">
        <v>501</v>
      </c>
    </row>
    <row r="6" spans="1:9" ht="1.9" hidden="1" customHeight="1" thickBot="1" x14ac:dyDescent="0.25">
      <c r="A6" s="1211"/>
      <c r="B6" s="347"/>
      <c r="C6" s="141"/>
      <c r="D6" s="141"/>
      <c r="E6" s="141"/>
      <c r="F6" s="142"/>
    </row>
    <row r="7" spans="1:9" s="274" customFormat="1" ht="23.25" customHeight="1" thickBot="1" x14ac:dyDescent="0.25">
      <c r="A7" s="1211"/>
      <c r="B7" s="347"/>
      <c r="C7" s="141"/>
      <c r="D7" s="1218" t="s">
        <v>337</v>
      </c>
      <c r="E7" s="1219"/>
      <c r="F7" s="1220"/>
      <c r="G7" s="1207" t="s">
        <v>1125</v>
      </c>
      <c r="H7" s="1208"/>
    </row>
    <row r="8" spans="1:9" s="83" customFormat="1" ht="30.75" customHeight="1" thickBot="1" x14ac:dyDescent="0.25">
      <c r="A8" s="1211"/>
      <c r="B8" s="1212" t="s">
        <v>86</v>
      </c>
      <c r="C8" s="1212" t="s">
        <v>502</v>
      </c>
      <c r="D8" s="1221" t="s">
        <v>503</v>
      </c>
      <c r="E8" s="1221" t="s">
        <v>504</v>
      </c>
      <c r="F8" s="1214" t="s">
        <v>505</v>
      </c>
      <c r="G8" s="1213" t="s">
        <v>62</v>
      </c>
      <c r="H8" s="1215" t="s">
        <v>63</v>
      </c>
    </row>
    <row r="9" spans="1:9" s="83" customFormat="1" ht="41.25" customHeight="1" thickBot="1" x14ac:dyDescent="0.25">
      <c r="A9" s="1211"/>
      <c r="B9" s="1212"/>
      <c r="C9" s="1212"/>
      <c r="D9" s="1221"/>
      <c r="E9" s="1221"/>
      <c r="F9" s="1214"/>
      <c r="G9" s="1214"/>
      <c r="H9" s="1216"/>
    </row>
    <row r="10" spans="1:9" ht="14.1" customHeight="1" x14ac:dyDescent="0.2">
      <c r="A10" s="130"/>
      <c r="B10" s="89" t="s">
        <v>78</v>
      </c>
      <c r="C10" s="90"/>
      <c r="D10" s="90"/>
      <c r="E10" s="90"/>
      <c r="F10" s="91"/>
      <c r="H10" s="638"/>
      <c r="I10" s="622"/>
    </row>
    <row r="11" spans="1:9" ht="14.1" customHeight="1" x14ac:dyDescent="0.2">
      <c r="A11" s="130"/>
      <c r="B11" s="89"/>
      <c r="C11" s="90"/>
      <c r="D11" s="90"/>
      <c r="E11" s="90"/>
      <c r="F11" s="91"/>
      <c r="H11" s="639"/>
      <c r="I11" s="622"/>
    </row>
    <row r="12" spans="1:9" ht="14.1" customHeight="1" x14ac:dyDescent="0.2">
      <c r="A12" s="329" t="s">
        <v>506</v>
      </c>
      <c r="B12" s="89" t="s">
        <v>507</v>
      </c>
      <c r="C12" s="90"/>
      <c r="D12" s="90"/>
      <c r="E12" s="90"/>
      <c r="F12" s="91"/>
      <c r="H12" s="639"/>
      <c r="I12" s="622"/>
    </row>
    <row r="13" spans="1:9" s="101" customFormat="1" ht="13.15" customHeight="1" thickBot="1" x14ac:dyDescent="0.25">
      <c r="A13" s="288"/>
      <c r="B13" s="92"/>
      <c r="C13" s="495"/>
      <c r="D13" s="128"/>
      <c r="E13" s="128"/>
      <c r="F13" s="107"/>
      <c r="G13" s="85"/>
      <c r="H13" s="90"/>
      <c r="I13" s="623"/>
    </row>
    <row r="14" spans="1:9" s="101" customFormat="1" ht="15" customHeight="1" thickBot="1" x14ac:dyDescent="0.25">
      <c r="A14" s="330"/>
      <c r="B14" s="93" t="s">
        <v>510</v>
      </c>
      <c r="C14" s="94"/>
      <c r="D14" s="846">
        <f>SUM(D13:D13)</f>
        <v>0</v>
      </c>
      <c r="E14" s="846">
        <f>SUM(E13:E13)</f>
        <v>0</v>
      </c>
      <c r="F14" s="846">
        <f>SUM(F13:F13)</f>
        <v>0</v>
      </c>
      <c r="G14" s="846">
        <f>SUM(G13:G13)</f>
        <v>0</v>
      </c>
      <c r="H14" s="846">
        <f>SUM(H13:H13)</f>
        <v>0</v>
      </c>
      <c r="I14" s="625"/>
    </row>
    <row r="15" spans="1:9" ht="14.1" customHeight="1" x14ac:dyDescent="0.2">
      <c r="A15" s="331"/>
      <c r="B15" s="92"/>
      <c r="C15" s="90"/>
      <c r="D15" s="90"/>
      <c r="E15" s="90"/>
      <c r="F15" s="91"/>
      <c r="H15" s="639"/>
      <c r="I15" s="622"/>
    </row>
    <row r="16" spans="1:9" ht="12" customHeight="1" x14ac:dyDescent="0.2">
      <c r="A16" s="331" t="s">
        <v>511</v>
      </c>
      <c r="B16" s="89" t="s">
        <v>512</v>
      </c>
      <c r="C16" s="90"/>
      <c r="D16" s="90"/>
      <c r="E16" s="90"/>
      <c r="F16" s="91"/>
      <c r="H16" s="639"/>
      <c r="I16" s="622"/>
    </row>
    <row r="17" spans="1:12" ht="26.25" customHeight="1" x14ac:dyDescent="0.2">
      <c r="A17" s="130" t="s">
        <v>508</v>
      </c>
      <c r="B17" s="92" t="s">
        <v>1036</v>
      </c>
      <c r="C17" s="495" t="s">
        <v>509</v>
      </c>
      <c r="D17" s="831">
        <v>7874</v>
      </c>
      <c r="E17" s="831">
        <v>2126</v>
      </c>
      <c r="F17" s="832">
        <f>D17+E17</f>
        <v>10000</v>
      </c>
      <c r="G17" s="496">
        <f>F17</f>
        <v>10000</v>
      </c>
      <c r="H17" s="831"/>
      <c r="I17" s="833"/>
    </row>
    <row r="18" spans="1:12" ht="13.5" customHeight="1" thickBot="1" x14ac:dyDescent="0.25">
      <c r="A18" s="130"/>
      <c r="B18" s="109"/>
      <c r="C18" s="90"/>
      <c r="D18" s="128"/>
      <c r="E18" s="128"/>
      <c r="F18" s="107"/>
      <c r="G18" s="86"/>
      <c r="H18" s="128"/>
      <c r="I18" s="833"/>
    </row>
    <row r="19" spans="1:12" ht="12" customHeight="1" thickBot="1" x14ac:dyDescent="0.25">
      <c r="A19" s="505"/>
      <c r="B19" s="498" t="s">
        <v>513</v>
      </c>
      <c r="C19" s="153"/>
      <c r="D19" s="847">
        <f>SUM(D17:D18)</f>
        <v>7874</v>
      </c>
      <c r="E19" s="847">
        <f>SUM(E17:E18)</f>
        <v>2126</v>
      </c>
      <c r="F19" s="847">
        <f>SUM(F17:F18)</f>
        <v>10000</v>
      </c>
      <c r="G19" s="847">
        <f>SUM(G17:G18)</f>
        <v>10000</v>
      </c>
      <c r="H19" s="847">
        <f>SUM(H17:H18)</f>
        <v>0</v>
      </c>
      <c r="I19" s="622"/>
    </row>
    <row r="20" spans="1:12" ht="12" customHeight="1" x14ac:dyDescent="0.2">
      <c r="A20" s="331"/>
      <c r="B20" s="95"/>
      <c r="C20" s="90"/>
      <c r="D20" s="90"/>
      <c r="E20" s="90"/>
      <c r="F20" s="91"/>
      <c r="H20" s="639"/>
      <c r="I20" s="622"/>
    </row>
    <row r="21" spans="1:12" ht="15.75" customHeight="1" x14ac:dyDescent="0.2">
      <c r="A21" s="594" t="s">
        <v>514</v>
      </c>
      <c r="B21" s="100" t="s">
        <v>515</v>
      </c>
      <c r="C21" s="97"/>
      <c r="D21" s="90"/>
      <c r="E21" s="90"/>
      <c r="F21" s="91"/>
      <c r="H21" s="639"/>
      <c r="I21" s="622"/>
    </row>
    <row r="22" spans="1:12" s="101" customFormat="1" ht="19.5" customHeight="1" x14ac:dyDescent="0.2">
      <c r="A22" s="1052" t="s">
        <v>508</v>
      </c>
      <c r="B22" s="96" t="s">
        <v>1146</v>
      </c>
      <c r="C22" s="831" t="s">
        <v>998</v>
      </c>
      <c r="D22" s="831">
        <v>3495</v>
      </c>
      <c r="E22" s="831">
        <v>945</v>
      </c>
      <c r="F22" s="832">
        <f>D22+E22</f>
        <v>4440</v>
      </c>
      <c r="G22" s="496">
        <f t="shared" ref="G22:G27" si="0">F22</f>
        <v>4440</v>
      </c>
      <c r="H22" s="128"/>
      <c r="I22" s="623"/>
    </row>
    <row r="23" spans="1:12" s="101" customFormat="1" ht="19.5" customHeight="1" x14ac:dyDescent="0.2">
      <c r="A23" s="1052" t="s">
        <v>1187</v>
      </c>
      <c r="B23" s="96" t="s">
        <v>1037</v>
      </c>
      <c r="C23" s="495" t="s">
        <v>509</v>
      </c>
      <c r="D23" s="831">
        <f>108835+10945</f>
        <v>119780</v>
      </c>
      <c r="E23" s="831">
        <f>29386+2954</f>
        <v>32340</v>
      </c>
      <c r="F23" s="832">
        <f>D23+E23</f>
        <v>152120</v>
      </c>
      <c r="G23" s="496">
        <f t="shared" si="0"/>
        <v>152120</v>
      </c>
      <c r="H23" s="128"/>
      <c r="I23" s="623"/>
    </row>
    <row r="24" spans="1:12" s="101" customFormat="1" ht="19.5" customHeight="1" x14ac:dyDescent="0.2">
      <c r="A24" s="1052" t="s">
        <v>1186</v>
      </c>
      <c r="B24" s="96" t="s">
        <v>1188</v>
      </c>
      <c r="C24" s="831" t="s">
        <v>998</v>
      </c>
      <c r="D24" s="831">
        <v>29528</v>
      </c>
      <c r="E24" s="831">
        <v>7972</v>
      </c>
      <c r="F24" s="832">
        <f>SUM(D24:E24)</f>
        <v>37500</v>
      </c>
      <c r="G24" s="496">
        <f t="shared" si="0"/>
        <v>37500</v>
      </c>
      <c r="H24" s="128"/>
      <c r="I24" s="623"/>
    </row>
    <row r="25" spans="1:12" s="101" customFormat="1" ht="23.25" customHeight="1" x14ac:dyDescent="0.2">
      <c r="A25" s="1052" t="s">
        <v>517</v>
      </c>
      <c r="B25" s="96" t="s">
        <v>1189</v>
      </c>
      <c r="C25" s="495" t="s">
        <v>509</v>
      </c>
      <c r="D25" s="831">
        <v>21870</v>
      </c>
      <c r="E25" s="831">
        <v>5905</v>
      </c>
      <c r="F25" s="832">
        <f t="shared" ref="F25:F37" si="1">D25+E25</f>
        <v>27775</v>
      </c>
      <c r="G25" s="496">
        <f t="shared" si="0"/>
        <v>27775</v>
      </c>
      <c r="H25" s="831"/>
      <c r="I25" s="623"/>
    </row>
    <row r="26" spans="1:12" s="101" customFormat="1" ht="24.75" customHeight="1" x14ac:dyDescent="0.2">
      <c r="A26" s="1052" t="s">
        <v>518</v>
      </c>
      <c r="B26" s="96" t="s">
        <v>1013</v>
      </c>
      <c r="C26" s="495" t="s">
        <v>509</v>
      </c>
      <c r="D26" s="831">
        <f>23622-15748</f>
        <v>7874</v>
      </c>
      <c r="E26" s="831">
        <f>6378-4252</f>
        <v>2126</v>
      </c>
      <c r="F26" s="832">
        <f t="shared" si="1"/>
        <v>10000</v>
      </c>
      <c r="G26" s="496">
        <f t="shared" si="0"/>
        <v>10000</v>
      </c>
      <c r="H26" s="128"/>
      <c r="I26" s="623"/>
    </row>
    <row r="27" spans="1:12" s="101" customFormat="1" ht="26.25" customHeight="1" x14ac:dyDescent="0.2">
      <c r="A27" s="1052" t="s">
        <v>519</v>
      </c>
      <c r="B27" s="92" t="s">
        <v>1181</v>
      </c>
      <c r="C27" s="495" t="s">
        <v>509</v>
      </c>
      <c r="D27" s="831">
        <v>541122</v>
      </c>
      <c r="E27" s="831">
        <v>146103</v>
      </c>
      <c r="F27" s="832">
        <f t="shared" si="1"/>
        <v>687225</v>
      </c>
      <c r="G27" s="496">
        <f t="shared" si="0"/>
        <v>687225</v>
      </c>
      <c r="H27" s="128"/>
      <c r="I27" s="623"/>
    </row>
    <row r="28" spans="1:12" s="101" customFormat="1" ht="21.75" customHeight="1" x14ac:dyDescent="0.2">
      <c r="A28" s="1052" t="s">
        <v>520</v>
      </c>
      <c r="B28" s="774" t="s">
        <v>194</v>
      </c>
      <c r="C28" s="495" t="s">
        <v>509</v>
      </c>
      <c r="D28" s="831">
        <v>5468</v>
      </c>
      <c r="E28" s="831">
        <v>1486</v>
      </c>
      <c r="F28" s="832">
        <f t="shared" si="1"/>
        <v>6954</v>
      </c>
      <c r="G28" s="496"/>
      <c r="H28" s="831">
        <f>F28</f>
        <v>6954</v>
      </c>
      <c r="I28" s="623"/>
    </row>
    <row r="29" spans="1:12" s="101" customFormat="1" ht="36.75" customHeight="1" x14ac:dyDescent="0.2">
      <c r="A29" s="1052" t="s">
        <v>1169</v>
      </c>
      <c r="B29" s="1059" t="s">
        <v>1150</v>
      </c>
      <c r="C29" s="831" t="s">
        <v>509</v>
      </c>
      <c r="D29" s="831">
        <v>141228</v>
      </c>
      <c r="E29" s="831">
        <v>38132</v>
      </c>
      <c r="F29" s="832">
        <f t="shared" si="1"/>
        <v>179360</v>
      </c>
      <c r="G29" s="496">
        <f>F29</f>
        <v>179360</v>
      </c>
      <c r="H29" s="831"/>
      <c r="I29" s="1026"/>
      <c r="J29" s="1027"/>
      <c r="K29" s="1027"/>
      <c r="L29" s="1027"/>
    </row>
    <row r="30" spans="1:12" s="101" customFormat="1" ht="21.75" customHeight="1" x14ac:dyDescent="0.2">
      <c r="A30" s="1052" t="s">
        <v>1170</v>
      </c>
      <c r="B30" s="774" t="s">
        <v>1182</v>
      </c>
      <c r="C30" s="495"/>
      <c r="D30" s="831">
        <v>118110</v>
      </c>
      <c r="E30" s="831">
        <v>31890</v>
      </c>
      <c r="F30" s="832">
        <f t="shared" si="1"/>
        <v>150000</v>
      </c>
      <c r="G30" s="496">
        <f>F30</f>
        <v>150000</v>
      </c>
      <c r="H30" s="831"/>
      <c r="I30" s="623"/>
    </row>
    <row r="31" spans="1:12" s="101" customFormat="1" ht="21.75" customHeight="1" x14ac:dyDescent="0.2">
      <c r="A31" s="1052" t="s">
        <v>1171</v>
      </c>
      <c r="B31" s="774" t="s">
        <v>1000</v>
      </c>
      <c r="C31" s="495" t="s">
        <v>509</v>
      </c>
      <c r="D31" s="831">
        <v>80132</v>
      </c>
      <c r="E31" s="831">
        <v>21635</v>
      </c>
      <c r="F31" s="832">
        <f t="shared" ref="F31" si="2">D31+E31</f>
        <v>101767</v>
      </c>
      <c r="G31" s="496">
        <f t="shared" ref="G31" si="3">F31</f>
        <v>101767</v>
      </c>
      <c r="H31" s="831"/>
      <c r="I31" s="623"/>
    </row>
    <row r="32" spans="1:12" s="101" customFormat="1" ht="21.75" customHeight="1" x14ac:dyDescent="0.2">
      <c r="A32" s="1052" t="s">
        <v>522</v>
      </c>
      <c r="B32" s="774" t="s">
        <v>999</v>
      </c>
      <c r="C32" s="495" t="s">
        <v>509</v>
      </c>
      <c r="D32" s="831">
        <v>11616</v>
      </c>
      <c r="E32" s="831">
        <v>3137</v>
      </c>
      <c r="F32" s="832">
        <f t="shared" si="1"/>
        <v>14753</v>
      </c>
      <c r="G32" s="496">
        <f t="shared" ref="G32:G35" si="4">F32</f>
        <v>14753</v>
      </c>
      <c r="H32" s="831"/>
      <c r="I32" s="623"/>
    </row>
    <row r="33" spans="1:9" s="101" customFormat="1" ht="21.75" customHeight="1" x14ac:dyDescent="0.2">
      <c r="A33" s="1052" t="s">
        <v>523</v>
      </c>
      <c r="B33" s="774" t="s">
        <v>1135</v>
      </c>
      <c r="C33" s="495" t="s">
        <v>509</v>
      </c>
      <c r="D33" s="831">
        <v>10000</v>
      </c>
      <c r="E33" s="831">
        <v>2700</v>
      </c>
      <c r="F33" s="832">
        <f t="shared" si="1"/>
        <v>12700</v>
      </c>
      <c r="G33" s="496">
        <f t="shared" si="4"/>
        <v>12700</v>
      </c>
      <c r="H33" s="831"/>
      <c r="I33" s="833"/>
    </row>
    <row r="34" spans="1:9" s="101" customFormat="1" ht="21.75" customHeight="1" x14ac:dyDescent="0.2">
      <c r="A34" s="1052" t="s">
        <v>565</v>
      </c>
      <c r="B34" s="774" t="s">
        <v>997</v>
      </c>
      <c r="C34" s="495" t="s">
        <v>509</v>
      </c>
      <c r="D34" s="831">
        <v>3000</v>
      </c>
      <c r="E34" s="831">
        <v>810</v>
      </c>
      <c r="F34" s="832">
        <f t="shared" si="1"/>
        <v>3810</v>
      </c>
      <c r="G34" s="496">
        <f t="shared" si="4"/>
        <v>3810</v>
      </c>
      <c r="H34" s="831"/>
      <c r="I34" s="833"/>
    </row>
    <row r="35" spans="1:9" s="101" customFormat="1" ht="21.75" customHeight="1" x14ac:dyDescent="0.2">
      <c r="A35" s="1052" t="s">
        <v>566</v>
      </c>
      <c r="B35" s="774" t="s">
        <v>1001</v>
      </c>
      <c r="C35" s="495" t="s">
        <v>509</v>
      </c>
      <c r="D35" s="831">
        <v>12598</v>
      </c>
      <c r="E35" s="831">
        <v>3402</v>
      </c>
      <c r="F35" s="832">
        <f t="shared" si="1"/>
        <v>16000</v>
      </c>
      <c r="G35" s="496">
        <f t="shared" si="4"/>
        <v>16000</v>
      </c>
      <c r="H35" s="831"/>
      <c r="I35" s="833"/>
    </row>
    <row r="36" spans="1:9" s="101" customFormat="1" ht="21.75" customHeight="1" x14ac:dyDescent="0.2">
      <c r="A36" s="1052" t="s">
        <v>567</v>
      </c>
      <c r="B36" s="774" t="s">
        <v>1035</v>
      </c>
      <c r="C36" s="495" t="s">
        <v>509</v>
      </c>
      <c r="D36" s="831">
        <v>2362</v>
      </c>
      <c r="E36" s="831">
        <v>638</v>
      </c>
      <c r="F36" s="832">
        <f t="shared" si="1"/>
        <v>3000</v>
      </c>
      <c r="G36" s="496"/>
      <c r="H36" s="831">
        <f>F36</f>
        <v>3000</v>
      </c>
      <c r="I36" s="833"/>
    </row>
    <row r="37" spans="1:9" s="101" customFormat="1" ht="26.25" customHeight="1" x14ac:dyDescent="0.2">
      <c r="A37" s="1052" t="s">
        <v>568</v>
      </c>
      <c r="B37" s="774" t="s">
        <v>1183</v>
      </c>
      <c r="C37" s="495" t="s">
        <v>509</v>
      </c>
      <c r="D37" s="831">
        <v>41732</v>
      </c>
      <c r="E37" s="831">
        <v>11268</v>
      </c>
      <c r="F37" s="832">
        <f t="shared" si="1"/>
        <v>53000</v>
      </c>
      <c r="G37" s="496">
        <f>F37</f>
        <v>53000</v>
      </c>
      <c r="H37" s="831"/>
      <c r="I37" s="833"/>
    </row>
    <row r="38" spans="1:9" s="101" customFormat="1" ht="27.75" customHeight="1" x14ac:dyDescent="0.2">
      <c r="A38" s="1052" t="s">
        <v>569</v>
      </c>
      <c r="B38" s="993" t="s">
        <v>1184</v>
      </c>
      <c r="C38" s="495" t="s">
        <v>509</v>
      </c>
      <c r="D38" s="831">
        <v>193701</v>
      </c>
      <c r="E38" s="831">
        <v>52299</v>
      </c>
      <c r="F38" s="832">
        <f t="shared" ref="F38" si="5">D38+E38</f>
        <v>246000</v>
      </c>
      <c r="G38" s="496">
        <f>F38</f>
        <v>246000</v>
      </c>
      <c r="H38" s="831"/>
      <c r="I38" s="623"/>
    </row>
    <row r="39" spans="1:9" s="101" customFormat="1" ht="27.75" customHeight="1" x14ac:dyDescent="0.2">
      <c r="A39" s="1061" t="s">
        <v>1190</v>
      </c>
      <c r="B39" s="1033" t="s">
        <v>1084</v>
      </c>
      <c r="C39" s="495" t="s">
        <v>509</v>
      </c>
      <c r="D39" s="831">
        <v>162251</v>
      </c>
      <c r="E39" s="831">
        <v>43808</v>
      </c>
      <c r="F39" s="832">
        <f>SUM(D39:E39)</f>
        <v>206059</v>
      </c>
      <c r="G39" s="496">
        <v>206059</v>
      </c>
      <c r="H39" s="831"/>
      <c r="I39" s="623"/>
    </row>
    <row r="40" spans="1:9" s="101" customFormat="1" ht="27.75" customHeight="1" x14ac:dyDescent="0.2">
      <c r="A40" s="1061" t="s">
        <v>1191</v>
      </c>
      <c r="B40" s="1120" t="s">
        <v>1192</v>
      </c>
      <c r="C40" s="831" t="s">
        <v>330</v>
      </c>
      <c r="D40" s="831">
        <v>3000</v>
      </c>
      <c r="E40" s="831">
        <v>810</v>
      </c>
      <c r="F40" s="832">
        <f>SUM(D40:E40)</f>
        <v>3810</v>
      </c>
      <c r="G40" s="496">
        <f>F40</f>
        <v>3810</v>
      </c>
      <c r="H40" s="831"/>
      <c r="I40" s="623"/>
    </row>
    <row r="41" spans="1:9" s="101" customFormat="1" ht="27.75" customHeight="1" thickBot="1" x14ac:dyDescent="0.25">
      <c r="A41" s="1052" t="s">
        <v>571</v>
      </c>
      <c r="B41" s="1120" t="s">
        <v>1177</v>
      </c>
      <c r="C41" s="831" t="s">
        <v>330</v>
      </c>
      <c r="D41" s="831">
        <f>6938+197</f>
        <v>7135</v>
      </c>
      <c r="E41" s="831">
        <v>53</v>
      </c>
      <c r="F41" s="832">
        <f>SUM(D41:E41)</f>
        <v>7188</v>
      </c>
      <c r="G41" s="496">
        <f>F41</f>
        <v>7188</v>
      </c>
      <c r="H41" s="831"/>
      <c r="I41" s="623"/>
    </row>
    <row r="42" spans="1:9" ht="13.9" customHeight="1" thickBot="1" x14ac:dyDescent="0.25">
      <c r="A42" s="506"/>
      <c r="B42" s="93" t="s">
        <v>524</v>
      </c>
      <c r="C42" s="102"/>
      <c r="D42" s="846">
        <f>SUM(D22:D41)</f>
        <v>1516002</v>
      </c>
      <c r="E42" s="846">
        <f>SUM(E22:E41)</f>
        <v>407459</v>
      </c>
      <c r="F42" s="846">
        <f t="shared" ref="F42:H42" si="6">SUM(F22:F41)</f>
        <v>1923461</v>
      </c>
      <c r="G42" s="846">
        <f t="shared" si="6"/>
        <v>1913507</v>
      </c>
      <c r="H42" s="846">
        <f t="shared" si="6"/>
        <v>9954</v>
      </c>
      <c r="I42" s="622"/>
    </row>
    <row r="43" spans="1:9" s="101" customFormat="1" ht="13.9" customHeight="1" x14ac:dyDescent="0.2">
      <c r="A43" s="288"/>
      <c r="B43" s="92"/>
      <c r="C43" s="97"/>
      <c r="D43" s="90"/>
      <c r="E43" s="90"/>
      <c r="F43" s="91"/>
      <c r="G43" s="85"/>
      <c r="H43" s="91"/>
      <c r="I43" s="623"/>
    </row>
    <row r="44" spans="1:9" s="101" customFormat="1" ht="13.9" customHeight="1" x14ac:dyDescent="0.2">
      <c r="A44" s="130"/>
      <c r="B44" s="92"/>
      <c r="C44" s="97"/>
      <c r="D44" s="90"/>
      <c r="E44" s="90"/>
      <c r="F44" s="91"/>
      <c r="G44" s="85"/>
      <c r="H44" s="90"/>
      <c r="I44" s="623"/>
    </row>
    <row r="45" spans="1:9" s="105" customFormat="1" ht="15.75" customHeight="1" x14ac:dyDescent="0.15">
      <c r="A45" s="331" t="s">
        <v>525</v>
      </c>
      <c r="B45" s="103" t="s">
        <v>526</v>
      </c>
      <c r="C45" s="104"/>
      <c r="D45" s="91"/>
      <c r="E45" s="91"/>
      <c r="F45" s="91"/>
      <c r="G45" s="115"/>
      <c r="H45" s="640"/>
      <c r="I45" s="624"/>
    </row>
    <row r="46" spans="1:9" s="105" customFormat="1" ht="15.75" customHeight="1" x14ac:dyDescent="0.15">
      <c r="A46" s="1052" t="s">
        <v>527</v>
      </c>
      <c r="B46" s="92" t="s">
        <v>583</v>
      </c>
      <c r="C46" s="1028" t="s">
        <v>327</v>
      </c>
      <c r="D46" s="1029">
        <v>5000</v>
      </c>
      <c r="E46" s="1029">
        <f>D46*0.27</f>
        <v>1350</v>
      </c>
      <c r="F46" s="1030">
        <f>D46+E46</f>
        <v>6350</v>
      </c>
      <c r="G46" s="1031">
        <v>6350</v>
      </c>
      <c r="H46" s="1029"/>
      <c r="I46" s="624"/>
    </row>
    <row r="47" spans="1:9" s="105" customFormat="1" ht="15.75" customHeight="1" x14ac:dyDescent="0.2">
      <c r="A47" s="1052" t="s">
        <v>706</v>
      </c>
      <c r="B47" s="106" t="s">
        <v>184</v>
      </c>
      <c r="C47" s="494" t="s">
        <v>327</v>
      </c>
      <c r="D47" s="495">
        <v>1000</v>
      </c>
      <c r="E47" s="495">
        <f>D47*0.27</f>
        <v>270</v>
      </c>
      <c r="F47" s="497">
        <f>SUM(D47:E47)</f>
        <v>1270</v>
      </c>
      <c r="G47" s="1032"/>
      <c r="H47" s="495">
        <v>1270</v>
      </c>
      <c r="I47" s="624"/>
    </row>
    <row r="48" spans="1:9" s="105" customFormat="1" ht="27" customHeight="1" x14ac:dyDescent="0.15">
      <c r="A48" s="1052" t="s">
        <v>101</v>
      </c>
      <c r="B48" s="774" t="s">
        <v>1183</v>
      </c>
      <c r="C48" s="494" t="s">
        <v>327</v>
      </c>
      <c r="D48" s="495">
        <v>14961</v>
      </c>
      <c r="E48" s="495">
        <v>4039</v>
      </c>
      <c r="F48" s="497">
        <f t="shared" ref="F48:F51" si="7">D48+E48</f>
        <v>19000</v>
      </c>
      <c r="G48" s="975">
        <f>F48</f>
        <v>19000</v>
      </c>
      <c r="H48" s="495"/>
      <c r="I48" s="624"/>
    </row>
    <row r="49" spans="1:9" s="105" customFormat="1" ht="27" customHeight="1" x14ac:dyDescent="0.15">
      <c r="A49" s="1052" t="s">
        <v>322</v>
      </c>
      <c r="B49" s="774" t="s">
        <v>1085</v>
      </c>
      <c r="C49" s="494" t="s">
        <v>327</v>
      </c>
      <c r="D49" s="495">
        <v>35000</v>
      </c>
      <c r="E49" s="495">
        <v>9450</v>
      </c>
      <c r="F49" s="497">
        <f t="shared" si="7"/>
        <v>44450</v>
      </c>
      <c r="G49" s="975">
        <v>44450</v>
      </c>
      <c r="H49" s="495"/>
      <c r="I49" s="624"/>
    </row>
    <row r="50" spans="1:9" s="105" customFormat="1" ht="25.9" customHeight="1" x14ac:dyDescent="0.2">
      <c r="A50" s="1052" t="s">
        <v>1147</v>
      </c>
      <c r="B50" s="106" t="s">
        <v>1084</v>
      </c>
      <c r="C50" s="494" t="s">
        <v>327</v>
      </c>
      <c r="D50" s="495">
        <v>17970</v>
      </c>
      <c r="E50" s="495">
        <v>4852</v>
      </c>
      <c r="F50" s="497">
        <f t="shared" si="7"/>
        <v>22822</v>
      </c>
      <c r="G50" s="1032">
        <v>22822</v>
      </c>
      <c r="H50" s="495"/>
      <c r="I50" s="624"/>
    </row>
    <row r="51" spans="1:9" s="105" customFormat="1" ht="25.9" customHeight="1" thickBot="1" x14ac:dyDescent="0.25">
      <c r="A51" s="1052" t="s">
        <v>957</v>
      </c>
      <c r="B51" s="106" t="s">
        <v>1148</v>
      </c>
      <c r="C51" s="494" t="s">
        <v>327</v>
      </c>
      <c r="D51" s="495">
        <v>248</v>
      </c>
      <c r="E51" s="495">
        <v>67</v>
      </c>
      <c r="F51" s="497">
        <f t="shared" si="7"/>
        <v>315</v>
      </c>
      <c r="G51" s="1032"/>
      <c r="H51" s="495">
        <f>F51</f>
        <v>315</v>
      </c>
      <c r="I51" s="624"/>
    </row>
    <row r="52" spans="1:9" s="105" customFormat="1" ht="12" customHeight="1" thickBot="1" x14ac:dyDescent="0.2">
      <c r="A52" s="332"/>
      <c r="B52" s="93" t="s">
        <v>528</v>
      </c>
      <c r="C52" s="102"/>
      <c r="D52" s="94">
        <f>SUM(D46:D51)</f>
        <v>74179</v>
      </c>
      <c r="E52" s="94">
        <f t="shared" ref="E52:H52" si="8">SUM(E46:E51)</f>
        <v>20028</v>
      </c>
      <c r="F52" s="94">
        <f t="shared" si="8"/>
        <v>94207</v>
      </c>
      <c r="G52" s="94">
        <f t="shared" si="8"/>
        <v>92622</v>
      </c>
      <c r="H52" s="94">
        <f t="shared" si="8"/>
        <v>1585</v>
      </c>
      <c r="I52" s="624"/>
    </row>
    <row r="53" spans="1:9" s="105" customFormat="1" ht="12" customHeight="1" x14ac:dyDescent="0.15">
      <c r="A53" s="331"/>
      <c r="B53" s="103"/>
      <c r="C53" s="104"/>
      <c r="D53" s="91"/>
      <c r="E53" s="91"/>
      <c r="F53" s="91"/>
      <c r="G53" s="91"/>
      <c r="H53" s="91"/>
      <c r="I53" s="624"/>
    </row>
    <row r="54" spans="1:9" s="105" customFormat="1" ht="12" customHeight="1" x14ac:dyDescent="0.15">
      <c r="A54" s="331"/>
      <c r="B54" s="103"/>
      <c r="C54" s="104"/>
      <c r="D54" s="91"/>
      <c r="E54" s="91"/>
      <c r="F54" s="91"/>
      <c r="G54" s="115"/>
      <c r="H54" s="640"/>
      <c r="I54" s="624"/>
    </row>
    <row r="55" spans="1:9" s="83" customFormat="1" ht="15" customHeight="1" x14ac:dyDescent="0.2">
      <c r="A55" s="331" t="s">
        <v>529</v>
      </c>
      <c r="B55" s="89" t="s">
        <v>530</v>
      </c>
      <c r="C55" s="91"/>
      <c r="D55" s="91"/>
      <c r="E55" s="91"/>
      <c r="F55" s="91"/>
      <c r="G55" s="86"/>
      <c r="H55" s="128"/>
      <c r="I55" s="625"/>
    </row>
    <row r="56" spans="1:9" s="83" customFormat="1" ht="15" customHeight="1" thickBot="1" x14ac:dyDescent="0.25">
      <c r="A56" s="331"/>
      <c r="B56" s="109"/>
      <c r="C56" s="97"/>
      <c r="D56" s="90"/>
      <c r="E56" s="90"/>
      <c r="F56" s="91"/>
      <c r="G56" s="86"/>
      <c r="H56" s="128"/>
      <c r="I56" s="625"/>
    </row>
    <row r="57" spans="1:9" s="83" customFormat="1" ht="13.5" customHeight="1" thickBot="1" x14ac:dyDescent="0.25">
      <c r="A57" s="332"/>
      <c r="B57" s="108" t="s">
        <v>531</v>
      </c>
      <c r="C57" s="94"/>
      <c r="D57" s="94">
        <f>SUM(D56)</f>
        <v>0</v>
      </c>
      <c r="E57" s="94">
        <f>SUM(E56)</f>
        <v>0</v>
      </c>
      <c r="F57" s="94">
        <f>SUM(F56)</f>
        <v>0</v>
      </c>
      <c r="G57" s="94">
        <f>SUM(G56)</f>
        <v>0</v>
      </c>
      <c r="H57" s="94">
        <f>SUM(H56)</f>
        <v>0</v>
      </c>
      <c r="I57" s="625"/>
    </row>
    <row r="58" spans="1:9" s="83" customFormat="1" ht="13.5" customHeight="1" x14ac:dyDescent="0.2">
      <c r="A58" s="331"/>
      <c r="B58" s="89"/>
      <c r="C58" s="91"/>
      <c r="D58" s="91"/>
      <c r="E58" s="91"/>
      <c r="F58" s="91"/>
      <c r="G58" s="91"/>
      <c r="H58" s="91"/>
      <c r="I58" s="625"/>
    </row>
    <row r="59" spans="1:9" s="83" customFormat="1" ht="13.5" customHeight="1" x14ac:dyDescent="0.2">
      <c r="A59" s="331"/>
      <c r="B59" s="89"/>
      <c r="C59" s="91"/>
      <c r="D59" s="91"/>
      <c r="E59" s="91"/>
      <c r="F59" s="91"/>
      <c r="G59" s="86"/>
      <c r="H59" s="128"/>
      <c r="I59" s="625"/>
    </row>
    <row r="60" spans="1:9" s="83" customFormat="1" ht="13.5" customHeight="1" x14ac:dyDescent="0.2">
      <c r="A60" s="331" t="s">
        <v>90</v>
      </c>
      <c r="B60" s="89" t="s">
        <v>185</v>
      </c>
      <c r="C60" s="91"/>
      <c r="F60" s="90"/>
      <c r="G60" s="86"/>
      <c r="H60" s="90"/>
      <c r="I60" s="625"/>
    </row>
    <row r="61" spans="1:9" s="83" customFormat="1" ht="20.25" customHeight="1" x14ac:dyDescent="0.2">
      <c r="A61" s="130" t="s">
        <v>527</v>
      </c>
      <c r="B61" s="109" t="s">
        <v>1086</v>
      </c>
      <c r="C61" s="91" t="s">
        <v>327</v>
      </c>
      <c r="D61" s="495">
        <v>8000</v>
      </c>
      <c r="E61" s="495">
        <f>D61*0.27</f>
        <v>2160</v>
      </c>
      <c r="F61" s="497">
        <f>SUM(D61:E61)</f>
        <v>10160</v>
      </c>
      <c r="G61" s="496"/>
      <c r="H61" s="495">
        <f>SUM(F61:G61)</f>
        <v>10160</v>
      </c>
      <c r="I61" s="625"/>
    </row>
    <row r="62" spans="1:9" s="83" customFormat="1" ht="25.5" customHeight="1" x14ac:dyDescent="0.2">
      <c r="A62" s="130" t="s">
        <v>706</v>
      </c>
      <c r="B62" s="974" t="s">
        <v>1143</v>
      </c>
      <c r="C62" s="494" t="s">
        <v>327</v>
      </c>
      <c r="D62" s="495">
        <v>5000</v>
      </c>
      <c r="E62" s="495">
        <v>972</v>
      </c>
      <c r="F62" s="497">
        <f>SUM(D62:E62)</f>
        <v>5972</v>
      </c>
      <c r="G62" s="496"/>
      <c r="H62" s="495">
        <f>F62</f>
        <v>5972</v>
      </c>
      <c r="I62" s="625"/>
    </row>
    <row r="63" spans="1:9" s="83" customFormat="1" ht="24" customHeight="1" x14ac:dyDescent="0.2">
      <c r="A63" s="130" t="s">
        <v>101</v>
      </c>
      <c r="B63" s="109" t="s">
        <v>1144</v>
      </c>
      <c r="C63" s="494" t="s">
        <v>327</v>
      </c>
      <c r="D63" s="495">
        <v>2000</v>
      </c>
      <c r="E63" s="495">
        <v>126</v>
      </c>
      <c r="F63" s="497">
        <f t="shared" ref="F63" si="9">SUM(D63:E63)</f>
        <v>2126</v>
      </c>
      <c r="G63" s="496">
        <f t="shared" ref="G63" si="10">F63</f>
        <v>2126</v>
      </c>
      <c r="H63" s="495"/>
      <c r="I63" s="833"/>
    </row>
    <row r="64" spans="1:9" s="83" customFormat="1" ht="24" customHeight="1" x14ac:dyDescent="0.2">
      <c r="A64" s="130" t="s">
        <v>322</v>
      </c>
      <c r="B64" s="109" t="s">
        <v>1155</v>
      </c>
      <c r="C64" s="494" t="s">
        <v>327</v>
      </c>
      <c r="D64" s="495">
        <v>10000</v>
      </c>
      <c r="E64" s="495">
        <v>2700</v>
      </c>
      <c r="F64" s="497">
        <f>SUM(D64:E64)</f>
        <v>12700</v>
      </c>
      <c r="G64" s="496"/>
      <c r="H64" s="495">
        <f>F64</f>
        <v>12700</v>
      </c>
      <c r="I64" s="833"/>
    </row>
    <row r="65" spans="1:9" s="83" customFormat="1" ht="13.5" customHeight="1" thickBot="1" x14ac:dyDescent="0.25">
      <c r="A65" s="504"/>
      <c r="B65" s="500"/>
      <c r="C65" s="91"/>
      <c r="D65" s="90"/>
      <c r="E65" s="90"/>
      <c r="F65" s="90"/>
      <c r="G65" s="86"/>
      <c r="H65" s="90"/>
      <c r="I65" s="625"/>
    </row>
    <row r="66" spans="1:9" s="83" customFormat="1" ht="12.75" customHeight="1" thickBot="1" x14ac:dyDescent="0.25">
      <c r="A66" s="501"/>
      <c r="B66" s="498" t="s">
        <v>186</v>
      </c>
      <c r="C66" s="153"/>
      <c r="D66" s="153">
        <f>SUM(D61:D65)</f>
        <v>25000</v>
      </c>
      <c r="E66" s="153">
        <f>SUM(E61:E65)</f>
        <v>5958</v>
      </c>
      <c r="F66" s="153">
        <f>SUM(F61:F65)</f>
        <v>30958</v>
      </c>
      <c r="G66" s="153">
        <f>SUM(G61:G65)</f>
        <v>2126</v>
      </c>
      <c r="H66" s="153">
        <f>SUM(H61:H65)</f>
        <v>28832</v>
      </c>
      <c r="I66" s="625"/>
    </row>
    <row r="67" spans="1:9" s="83" customFormat="1" ht="12.75" customHeight="1" x14ac:dyDescent="0.2">
      <c r="A67" s="130"/>
      <c r="B67" s="89"/>
      <c r="C67" s="91"/>
      <c r="D67" s="91"/>
      <c r="E67" s="91"/>
      <c r="F67" s="91"/>
      <c r="G67" s="86"/>
      <c r="H67" s="128"/>
      <c r="I67" s="625"/>
    </row>
    <row r="68" spans="1:9" s="83" customFormat="1" ht="24" customHeight="1" x14ac:dyDescent="0.2">
      <c r="A68" s="331" t="s">
        <v>91</v>
      </c>
      <c r="B68" s="89" t="s">
        <v>73</v>
      </c>
      <c r="C68" s="91"/>
      <c r="D68" s="91"/>
      <c r="E68" s="91"/>
      <c r="F68" s="91"/>
      <c r="G68" s="86"/>
      <c r="H68" s="128"/>
      <c r="I68" s="625"/>
    </row>
    <row r="69" spans="1:9" s="83" customFormat="1" ht="13.5" customHeight="1" thickBot="1" x14ac:dyDescent="0.25">
      <c r="A69" s="130"/>
      <c r="B69" s="92"/>
      <c r="C69" s="90"/>
      <c r="D69" s="91"/>
      <c r="E69" s="91"/>
      <c r="F69" s="90"/>
      <c r="G69" s="86"/>
      <c r="H69" s="128"/>
      <c r="I69" s="625"/>
    </row>
    <row r="70" spans="1:9" s="83" customFormat="1" ht="22.5" customHeight="1" thickBot="1" x14ac:dyDescent="0.25">
      <c r="A70" s="501"/>
      <c r="B70" s="502" t="s">
        <v>532</v>
      </c>
      <c r="C70" s="509"/>
      <c r="D70" s="94">
        <f>SUM(D69:D69)</f>
        <v>0</v>
      </c>
      <c r="E70" s="94">
        <f>SUM(E69:E69)</f>
        <v>0</v>
      </c>
      <c r="F70" s="94">
        <f>SUM(F69:F69)</f>
        <v>0</v>
      </c>
      <c r="G70" s="94">
        <f>SUM(G69:G69)</f>
        <v>0</v>
      </c>
      <c r="H70" s="94">
        <f>SUM(H69:H69)</f>
        <v>0</v>
      </c>
      <c r="I70" s="625"/>
    </row>
    <row r="71" spans="1:9" s="83" customFormat="1" ht="12.75" customHeight="1" x14ac:dyDescent="0.2">
      <c r="A71" s="130"/>
      <c r="B71" s="110"/>
      <c r="C71" s="90"/>
      <c r="D71" s="91"/>
      <c r="E71" s="91"/>
      <c r="F71" s="91"/>
      <c r="G71" s="86"/>
      <c r="H71" s="128"/>
      <c r="I71" s="625"/>
    </row>
    <row r="72" spans="1:9" s="83" customFormat="1" ht="12" customHeight="1" x14ac:dyDescent="0.2">
      <c r="A72" s="130"/>
      <c r="B72" s="109"/>
      <c r="C72" s="90"/>
      <c r="D72" s="90"/>
      <c r="E72" s="90"/>
      <c r="F72" s="91"/>
      <c r="G72" s="86"/>
      <c r="H72" s="128"/>
      <c r="I72" s="625"/>
    </row>
    <row r="73" spans="1:9" s="83" customFormat="1" ht="12.75" customHeight="1" x14ac:dyDescent="0.2">
      <c r="A73" s="331" t="s">
        <v>92</v>
      </c>
      <c r="B73" s="89" t="s">
        <v>320</v>
      </c>
      <c r="C73" s="90"/>
      <c r="D73" s="90"/>
      <c r="E73" s="90"/>
      <c r="F73" s="91"/>
      <c r="G73" s="86"/>
      <c r="H73" s="128"/>
      <c r="I73" s="625"/>
    </row>
    <row r="74" spans="1:9" s="111" customFormat="1" ht="13.5" customHeight="1" x14ac:dyDescent="0.2">
      <c r="A74" s="130" t="s">
        <v>508</v>
      </c>
      <c r="B74" s="109" t="s">
        <v>74</v>
      </c>
      <c r="C74" s="90"/>
      <c r="D74" s="90">
        <v>29582</v>
      </c>
      <c r="E74" s="90"/>
      <c r="F74" s="91">
        <f>SUM(D74:E74)</f>
        <v>29582</v>
      </c>
      <c r="G74" s="85">
        <f>F74</f>
        <v>29582</v>
      </c>
      <c r="H74" s="90"/>
      <c r="I74" s="626"/>
    </row>
    <row r="75" spans="1:9" s="111" customFormat="1" ht="13.5" customHeight="1" x14ac:dyDescent="0.2">
      <c r="A75" s="130" t="s">
        <v>516</v>
      </c>
      <c r="B75" s="109" t="s">
        <v>1038</v>
      </c>
      <c r="C75" s="90"/>
      <c r="D75" s="90">
        <v>3670</v>
      </c>
      <c r="E75" s="90"/>
      <c r="F75" s="91">
        <f>SUM(D75:E75)</f>
        <v>3670</v>
      </c>
      <c r="G75" s="85">
        <f>F75</f>
        <v>3670</v>
      </c>
      <c r="H75" s="90"/>
      <c r="I75" s="626"/>
    </row>
    <row r="76" spans="1:9" s="111" customFormat="1" ht="24.75" customHeight="1" x14ac:dyDescent="0.2">
      <c r="A76" s="130" t="s">
        <v>517</v>
      </c>
      <c r="B76" s="845" t="s">
        <v>956</v>
      </c>
      <c r="C76" s="831"/>
      <c r="D76" s="831">
        <v>16000</v>
      </c>
      <c r="E76" s="831"/>
      <c r="F76" s="832">
        <f>D76+E76</f>
        <v>16000</v>
      </c>
      <c r="G76" s="496"/>
      <c r="H76" s="831">
        <f>F76</f>
        <v>16000</v>
      </c>
      <c r="I76" s="626"/>
    </row>
    <row r="77" spans="1:9" s="111" customFormat="1" ht="12.75" customHeight="1" x14ac:dyDescent="0.2">
      <c r="A77" s="130" t="s">
        <v>518</v>
      </c>
      <c r="B77" s="845" t="s">
        <v>305</v>
      </c>
      <c r="C77" s="831"/>
      <c r="D77" s="831">
        <v>15000</v>
      </c>
      <c r="E77" s="831"/>
      <c r="F77" s="832">
        <f>D77+E77</f>
        <v>15000</v>
      </c>
      <c r="G77" s="496"/>
      <c r="H77" s="831">
        <f>F77</f>
        <v>15000</v>
      </c>
      <c r="I77" s="626"/>
    </row>
    <row r="78" spans="1:9" s="111" customFormat="1" ht="12.75" customHeight="1" x14ac:dyDescent="0.2">
      <c r="A78" s="130" t="s">
        <v>519</v>
      </c>
      <c r="B78" s="845" t="s">
        <v>1151</v>
      </c>
      <c r="C78" s="831"/>
      <c r="D78" s="831">
        <v>1520</v>
      </c>
      <c r="E78" s="831"/>
      <c r="F78" s="832">
        <f>D78+E78</f>
        <v>1520</v>
      </c>
      <c r="G78" s="496"/>
      <c r="H78" s="831">
        <f>F78</f>
        <v>1520</v>
      </c>
      <c r="I78" s="626"/>
    </row>
    <row r="79" spans="1:9" s="111" customFormat="1" ht="14.25" customHeight="1" thickBot="1" x14ac:dyDescent="0.25">
      <c r="A79" s="130"/>
      <c r="B79" s="845"/>
      <c r="C79" s="831"/>
      <c r="D79" s="831"/>
      <c r="E79" s="831"/>
      <c r="F79" s="832"/>
      <c r="G79" s="496"/>
      <c r="H79" s="831"/>
      <c r="I79" s="626"/>
    </row>
    <row r="80" spans="1:9" s="83" customFormat="1" ht="13.5" customHeight="1" thickBot="1" x14ac:dyDescent="0.25">
      <c r="A80" s="501"/>
      <c r="B80" s="108" t="s">
        <v>533</v>
      </c>
      <c r="C80" s="94"/>
      <c r="D80" s="94">
        <f>SUM(D74:D79)</f>
        <v>65772</v>
      </c>
      <c r="E80" s="94">
        <f>SUM(E74:E79)</f>
        <v>0</v>
      </c>
      <c r="F80" s="94">
        <f>SUM(F74:F79)</f>
        <v>65772</v>
      </c>
      <c r="G80" s="94">
        <f>SUM(G74:G79)</f>
        <v>33252</v>
      </c>
      <c r="H80" s="94">
        <f>SUM(H74:H79)</f>
        <v>32520</v>
      </c>
      <c r="I80" s="625"/>
    </row>
    <row r="81" spans="1:9" s="83" customFormat="1" ht="12.75" customHeight="1" x14ac:dyDescent="0.2">
      <c r="A81" s="130"/>
      <c r="B81" s="89"/>
      <c r="C81" s="90"/>
      <c r="D81" s="90"/>
      <c r="E81" s="90"/>
      <c r="F81" s="91"/>
      <c r="G81" s="86"/>
      <c r="H81" s="128"/>
      <c r="I81" s="625"/>
    </row>
    <row r="82" spans="1:9" ht="12.75" customHeight="1" x14ac:dyDescent="0.2">
      <c r="A82" s="331" t="s">
        <v>537</v>
      </c>
      <c r="B82" s="89" t="s">
        <v>1158</v>
      </c>
      <c r="C82" s="90"/>
      <c r="D82" s="90"/>
      <c r="E82" s="90"/>
      <c r="F82" s="91"/>
      <c r="H82" s="639"/>
      <c r="I82" s="622"/>
    </row>
    <row r="83" spans="1:9" s="111" customFormat="1" ht="21.75" customHeight="1" x14ac:dyDescent="0.2">
      <c r="A83" s="130" t="s">
        <v>527</v>
      </c>
      <c r="B83" s="109" t="s">
        <v>534</v>
      </c>
      <c r="C83" s="90"/>
      <c r="D83" s="90">
        <v>800</v>
      </c>
      <c r="E83" s="90"/>
      <c r="F83" s="91">
        <f>SUM(D83:E83)</f>
        <v>800</v>
      </c>
      <c r="G83" s="152"/>
      <c r="H83" s="90">
        <f>F83</f>
        <v>800</v>
      </c>
      <c r="I83" s="626"/>
    </row>
    <row r="84" spans="1:9" s="111" customFormat="1" ht="21.75" customHeight="1" thickBot="1" x14ac:dyDescent="0.25">
      <c r="A84" s="130" t="s">
        <v>706</v>
      </c>
      <c r="B84" s="109" t="s">
        <v>535</v>
      </c>
      <c r="C84" s="90"/>
      <c r="D84" s="90">
        <v>2200</v>
      </c>
      <c r="E84" s="90"/>
      <c r="F84" s="91">
        <f>SUM(D84:E84)</f>
        <v>2200</v>
      </c>
      <c r="G84" s="152"/>
      <c r="H84" s="90">
        <f>F84</f>
        <v>2200</v>
      </c>
      <c r="I84" s="626"/>
    </row>
    <row r="85" spans="1:9" s="83" customFormat="1" ht="21.75" customHeight="1" thickBot="1" x14ac:dyDescent="0.25">
      <c r="A85" s="501"/>
      <c r="B85" s="108" t="s">
        <v>536</v>
      </c>
      <c r="C85" s="94"/>
      <c r="D85" s="94">
        <f>SUM(D82:D84)</f>
        <v>3000</v>
      </c>
      <c r="E85" s="94">
        <f>SUM(E82:E84)</f>
        <v>0</v>
      </c>
      <c r="F85" s="94">
        <f>SUM(F82:F84)</f>
        <v>3000</v>
      </c>
      <c r="G85" s="94">
        <f>SUM(G82:G84)</f>
        <v>0</v>
      </c>
      <c r="H85" s="94">
        <f>SUM(H82:H84)</f>
        <v>3000</v>
      </c>
      <c r="I85" s="625"/>
    </row>
    <row r="86" spans="1:9" s="83" customFormat="1" ht="13.5" customHeight="1" x14ac:dyDescent="0.2">
      <c r="A86" s="130"/>
      <c r="B86" s="89"/>
      <c r="C86" s="91"/>
      <c r="D86" s="91"/>
      <c r="E86" s="91"/>
      <c r="F86" s="91"/>
      <c r="G86" s="91"/>
      <c r="H86" s="91"/>
      <c r="I86" s="625"/>
    </row>
    <row r="87" spans="1:9" s="83" customFormat="1" ht="13.5" customHeight="1" thickBot="1" x14ac:dyDescent="0.25">
      <c r="A87" s="504"/>
      <c r="B87" s="499"/>
      <c r="C87" s="507"/>
      <c r="D87" s="507"/>
      <c r="E87" s="507"/>
      <c r="F87" s="507"/>
      <c r="G87" s="508"/>
      <c r="H87" s="508"/>
      <c r="I87" s="625"/>
    </row>
    <row r="88" spans="1:9" s="83" customFormat="1" ht="13.5" customHeight="1" thickBot="1" x14ac:dyDescent="0.25">
      <c r="A88" s="501"/>
      <c r="B88" s="498" t="s">
        <v>187</v>
      </c>
      <c r="C88" s="153"/>
      <c r="D88" s="153">
        <f>D14+D19+D42+D52+D57+D66+D70+D80+D85</f>
        <v>1691827</v>
      </c>
      <c r="E88" s="153">
        <f>E14+E19+E42+E52+E57+E66+E70+E80+E85</f>
        <v>435571</v>
      </c>
      <c r="F88" s="153">
        <f>F14+F19+F42+F52+F57+F66+F70+F80+F85</f>
        <v>2127398</v>
      </c>
      <c r="G88" s="153">
        <f>G14+G19+G42+G52+G57+G66+G70+G80+G85</f>
        <v>2051507</v>
      </c>
      <c r="H88" s="834">
        <f>H14+H19+H42+H52+H57+H66+H70+H80+H85</f>
        <v>75891</v>
      </c>
      <c r="I88" s="637"/>
    </row>
    <row r="89" spans="1:9" s="83" customFormat="1" ht="13.5" customHeight="1" x14ac:dyDescent="0.2">
      <c r="A89" s="130"/>
      <c r="B89" s="89"/>
      <c r="C89" s="91"/>
      <c r="D89" s="91"/>
      <c r="E89" s="91"/>
      <c r="F89" s="91"/>
      <c r="G89" s="128"/>
      <c r="H89" s="128"/>
      <c r="I89" s="625"/>
    </row>
    <row r="90" spans="1:9" s="112" customFormat="1" ht="13.5" customHeight="1" x14ac:dyDescent="0.15">
      <c r="A90" s="130"/>
      <c r="B90" s="89"/>
      <c r="C90" s="91"/>
      <c r="D90" s="91"/>
      <c r="E90" s="91"/>
      <c r="F90" s="91"/>
      <c r="G90" s="107"/>
      <c r="H90" s="107"/>
      <c r="I90" s="627"/>
    </row>
    <row r="91" spans="1:9" s="112" customFormat="1" ht="15.75" customHeight="1" x14ac:dyDescent="0.15">
      <c r="A91" s="331" t="s">
        <v>540</v>
      </c>
      <c r="B91" s="89" t="s">
        <v>538</v>
      </c>
      <c r="C91" s="91"/>
      <c r="D91" s="91"/>
      <c r="E91" s="91"/>
      <c r="F91" s="91"/>
      <c r="G91" s="107"/>
      <c r="H91" s="107"/>
      <c r="I91" s="627"/>
    </row>
    <row r="92" spans="1:9" s="977" customFormat="1" ht="21.75" customHeight="1" x14ac:dyDescent="0.2">
      <c r="A92" s="130" t="s">
        <v>508</v>
      </c>
      <c r="B92" s="109" t="s">
        <v>1236</v>
      </c>
      <c r="C92" s="495" t="s">
        <v>327</v>
      </c>
      <c r="D92" s="831">
        <f>3980+2362</f>
        <v>6342</v>
      </c>
      <c r="E92" s="831">
        <f>1075+638</f>
        <v>1713</v>
      </c>
      <c r="F92" s="832">
        <f>SUM(D92:E92)</f>
        <v>8055</v>
      </c>
      <c r="G92" s="496">
        <f>1905+3000</f>
        <v>4905</v>
      </c>
      <c r="H92" s="831">
        <v>3150</v>
      </c>
      <c r="I92" s="976"/>
    </row>
    <row r="93" spans="1:9" s="112" customFormat="1" ht="21.75" customHeight="1" x14ac:dyDescent="0.2">
      <c r="A93" s="130" t="s">
        <v>516</v>
      </c>
      <c r="B93" s="109" t="s">
        <v>1039</v>
      </c>
      <c r="C93" s="495" t="s">
        <v>327</v>
      </c>
      <c r="D93" s="495">
        <v>3000</v>
      </c>
      <c r="E93" s="495">
        <v>185</v>
      </c>
      <c r="F93" s="497">
        <f>SUM(D93:E93)</f>
        <v>3185</v>
      </c>
      <c r="G93" s="533"/>
      <c r="H93" s="128">
        <f>F93</f>
        <v>3185</v>
      </c>
      <c r="I93" s="627"/>
    </row>
    <row r="94" spans="1:9" s="112" customFormat="1" ht="22.15" customHeight="1" thickBot="1" x14ac:dyDescent="0.2">
      <c r="A94" s="504" t="s">
        <v>517</v>
      </c>
      <c r="B94" s="109" t="s">
        <v>1136</v>
      </c>
      <c r="C94" s="495" t="s">
        <v>327</v>
      </c>
      <c r="D94" s="495">
        <v>1000</v>
      </c>
      <c r="E94" s="495">
        <f>D94*0.27</f>
        <v>270</v>
      </c>
      <c r="F94" s="497">
        <f>SUM(D94:E94)</f>
        <v>1270</v>
      </c>
      <c r="G94" s="496">
        <v>1270</v>
      </c>
      <c r="H94" s="831"/>
      <c r="I94" s="627"/>
    </row>
    <row r="95" spans="1:9" s="112" customFormat="1" ht="21.75" customHeight="1" thickBot="1" x14ac:dyDescent="0.2">
      <c r="A95" s="501"/>
      <c r="B95" s="108" t="s">
        <v>539</v>
      </c>
      <c r="C95" s="94"/>
      <c r="D95" s="1121">
        <f>SUM(D92:D94)</f>
        <v>10342</v>
      </c>
      <c r="E95" s="1121">
        <f t="shared" ref="E95:F95" si="11">SUM(E92:E94)</f>
        <v>2168</v>
      </c>
      <c r="F95" s="1121">
        <f t="shared" si="11"/>
        <v>12510</v>
      </c>
      <c r="G95" s="1121">
        <f t="shared" ref="G95" si="12">SUM(G92:G94)</f>
        <v>6175</v>
      </c>
      <c r="H95" s="1121">
        <f t="shared" ref="H95" si="13">SUM(H92:H94)</f>
        <v>6335</v>
      </c>
      <c r="I95" s="627"/>
    </row>
    <row r="96" spans="1:9" s="112" customFormat="1" ht="13.5" customHeight="1" x14ac:dyDescent="0.15">
      <c r="A96" s="130"/>
      <c r="B96" s="89"/>
      <c r="C96" s="91"/>
      <c r="D96" s="91"/>
      <c r="E96" s="91"/>
      <c r="F96" s="91"/>
      <c r="G96" s="99"/>
      <c r="H96" s="107"/>
      <c r="I96" s="627"/>
    </row>
    <row r="97" spans="1:9" s="112" customFormat="1" ht="13.5" customHeight="1" x14ac:dyDescent="0.15">
      <c r="A97" s="331" t="s">
        <v>188</v>
      </c>
      <c r="B97" s="89" t="s">
        <v>76</v>
      </c>
      <c r="C97" s="91"/>
      <c r="D97" s="91"/>
      <c r="E97" s="91"/>
      <c r="F97" s="91"/>
      <c r="G97" s="99"/>
      <c r="H97" s="107"/>
      <c r="I97" s="627"/>
    </row>
    <row r="98" spans="1:9" s="83" customFormat="1" ht="21.75" customHeight="1" x14ac:dyDescent="0.2">
      <c r="A98" s="130" t="s">
        <v>508</v>
      </c>
      <c r="B98" s="109" t="s">
        <v>329</v>
      </c>
      <c r="C98" s="495" t="s">
        <v>330</v>
      </c>
      <c r="D98" s="495">
        <v>4725</v>
      </c>
      <c r="E98" s="495">
        <v>1275</v>
      </c>
      <c r="F98" s="497">
        <f>SUM(D98:E98)</f>
        <v>6000</v>
      </c>
      <c r="G98" s="496">
        <v>6000</v>
      </c>
      <c r="H98" s="831"/>
      <c r="I98" s="625"/>
    </row>
    <row r="99" spans="1:9" s="83" customFormat="1" ht="21.75" customHeight="1" thickBot="1" x14ac:dyDescent="0.25">
      <c r="A99" s="130"/>
      <c r="B99" s="109"/>
      <c r="C99" s="495"/>
      <c r="D99" s="495"/>
      <c r="E99" s="495"/>
      <c r="F99" s="497"/>
      <c r="G99" s="496"/>
      <c r="H99" s="831"/>
      <c r="I99" s="625"/>
    </row>
    <row r="100" spans="1:9" s="83" customFormat="1" ht="21.75" customHeight="1" thickBot="1" x14ac:dyDescent="0.25">
      <c r="A100" s="501"/>
      <c r="B100" s="498" t="s">
        <v>75</v>
      </c>
      <c r="C100" s="887"/>
      <c r="D100" s="887">
        <f>SUM(D98:D99)</f>
        <v>4725</v>
      </c>
      <c r="E100" s="887">
        <f>SUM(E98:E99)</f>
        <v>1275</v>
      </c>
      <c r="F100" s="887">
        <f>SUM(F98:F99)</f>
        <v>6000</v>
      </c>
      <c r="G100" s="887">
        <f>SUM(G98:G99)</f>
        <v>6000</v>
      </c>
      <c r="H100" s="887">
        <f>SUM(H98:H99)</f>
        <v>0</v>
      </c>
      <c r="I100" s="625"/>
    </row>
    <row r="101" spans="1:9" s="83" customFormat="1" ht="13.5" customHeight="1" x14ac:dyDescent="0.2">
      <c r="A101" s="130"/>
      <c r="B101" s="109"/>
      <c r="C101" s="90"/>
      <c r="D101" s="90"/>
      <c r="E101" s="90"/>
      <c r="F101" s="90"/>
      <c r="G101" s="86"/>
      <c r="H101" s="128"/>
      <c r="I101" s="625"/>
    </row>
    <row r="102" spans="1:9" s="112" customFormat="1" ht="26.45" customHeight="1" x14ac:dyDescent="0.2">
      <c r="A102" s="130"/>
      <c r="B102" s="89" t="s">
        <v>1004</v>
      </c>
      <c r="C102" s="91"/>
      <c r="D102" s="90"/>
      <c r="E102" s="90"/>
      <c r="F102" s="91"/>
      <c r="G102" s="99"/>
      <c r="H102" s="107"/>
      <c r="I102" s="627"/>
    </row>
    <row r="103" spans="1:9" s="112" customFormat="1" ht="33" customHeight="1" x14ac:dyDescent="0.15">
      <c r="A103" s="130" t="s">
        <v>508</v>
      </c>
      <c r="B103" s="835" t="s">
        <v>1122</v>
      </c>
      <c r="C103" s="495" t="s">
        <v>327</v>
      </c>
      <c r="D103" s="831">
        <v>3070</v>
      </c>
      <c r="E103" s="831">
        <v>830</v>
      </c>
      <c r="F103" s="832">
        <f>SUM(D103:E103)</f>
        <v>3900</v>
      </c>
      <c r="G103" s="533"/>
      <c r="H103" s="831">
        <f>F103</f>
        <v>3900</v>
      </c>
      <c r="I103" s="627"/>
    </row>
    <row r="104" spans="1:9" s="112" customFormat="1" ht="21" customHeight="1" thickBot="1" x14ac:dyDescent="0.25">
      <c r="A104" s="130"/>
      <c r="B104" s="773"/>
      <c r="C104" s="770"/>
      <c r="D104" s="128"/>
      <c r="E104" s="128"/>
      <c r="F104" s="128"/>
      <c r="G104" s="99"/>
      <c r="H104" s="128"/>
      <c r="I104" s="627"/>
    </row>
    <row r="105" spans="1:9" s="112" customFormat="1" ht="21.75" customHeight="1" thickBot="1" x14ac:dyDescent="0.2">
      <c r="A105" s="505"/>
      <c r="B105" s="503" t="s">
        <v>1003</v>
      </c>
      <c r="C105" s="886"/>
      <c r="D105" s="887">
        <f>SUM(D103:D104)</f>
        <v>3070</v>
      </c>
      <c r="E105" s="887">
        <f>SUM(E103:E104)</f>
        <v>830</v>
      </c>
      <c r="F105" s="887">
        <f>SUM(F103:F104)</f>
        <v>3900</v>
      </c>
      <c r="G105" s="887">
        <f>SUM(G103:G104)</f>
        <v>0</v>
      </c>
      <c r="H105" s="887">
        <f>SUM(H103:H104)</f>
        <v>3900</v>
      </c>
      <c r="I105" s="627"/>
    </row>
    <row r="106" spans="1:9" s="112" customFormat="1" ht="13.5" customHeight="1" x14ac:dyDescent="0.15">
      <c r="A106" s="331"/>
      <c r="B106" s="89"/>
      <c r="C106" s="91"/>
      <c r="D106" s="91"/>
      <c r="E106" s="91"/>
      <c r="F106" s="91"/>
      <c r="G106" s="91"/>
      <c r="H106" s="91"/>
      <c r="I106" s="627"/>
    </row>
    <row r="107" spans="1:9" s="112" customFormat="1" ht="13.5" customHeight="1" x14ac:dyDescent="0.15">
      <c r="A107" s="331"/>
      <c r="B107" s="89" t="s">
        <v>735</v>
      </c>
      <c r="C107" s="91"/>
      <c r="D107" s="91"/>
      <c r="E107" s="91"/>
      <c r="F107" s="91"/>
      <c r="G107" s="91"/>
      <c r="H107" s="91"/>
      <c r="I107" s="627"/>
    </row>
    <row r="108" spans="1:9" s="977" customFormat="1" ht="26.25" customHeight="1" x14ac:dyDescent="0.2">
      <c r="A108" s="130" t="s">
        <v>508</v>
      </c>
      <c r="B108" s="835" t="s">
        <v>1157</v>
      </c>
      <c r="C108" s="495" t="s">
        <v>327</v>
      </c>
      <c r="D108" s="831">
        <v>4000</v>
      </c>
      <c r="E108" s="831">
        <v>1080</v>
      </c>
      <c r="F108" s="832">
        <f>SUM(D108:E108)</f>
        <v>5080</v>
      </c>
      <c r="G108" s="831">
        <f>F108</f>
        <v>5080</v>
      </c>
      <c r="H108" s="497"/>
      <c r="I108" s="976"/>
    </row>
    <row r="109" spans="1:9" s="977" customFormat="1" ht="21.75" customHeight="1" x14ac:dyDescent="0.2">
      <c r="A109" s="130" t="s">
        <v>516</v>
      </c>
      <c r="B109" s="109" t="s">
        <v>1121</v>
      </c>
      <c r="C109" s="495" t="s">
        <v>327</v>
      </c>
      <c r="D109" s="495">
        <v>2205</v>
      </c>
      <c r="E109" s="495">
        <v>595</v>
      </c>
      <c r="F109" s="497">
        <f>SUM(D109:E109)</f>
        <v>2800</v>
      </c>
      <c r="G109" s="495">
        <v>2800</v>
      </c>
      <c r="H109" s="495"/>
      <c r="I109" s="976"/>
    </row>
    <row r="110" spans="1:9" s="977" customFormat="1" ht="21.75" customHeight="1" thickBot="1" x14ac:dyDescent="0.25">
      <c r="A110" s="130" t="s">
        <v>517</v>
      </c>
      <c r="B110" s="109" t="s">
        <v>1156</v>
      </c>
      <c r="C110" s="495" t="s">
        <v>327</v>
      </c>
      <c r="D110" s="495">
        <v>787</v>
      </c>
      <c r="E110" s="495">
        <v>213</v>
      </c>
      <c r="F110" s="497">
        <f>SUM(D110:E110)</f>
        <v>1000</v>
      </c>
      <c r="G110" s="495">
        <v>1000</v>
      </c>
      <c r="H110" s="495"/>
      <c r="I110" s="976"/>
    </row>
    <row r="111" spans="1:9" s="112" customFormat="1" ht="21.75" customHeight="1" thickBot="1" x14ac:dyDescent="0.2">
      <c r="A111" s="505"/>
      <c r="B111" s="498" t="s">
        <v>16</v>
      </c>
      <c r="C111" s="887"/>
      <c r="D111" s="887">
        <f>SUM(D108:D110)</f>
        <v>6992</v>
      </c>
      <c r="E111" s="887">
        <f>SUM(E108:E110)</f>
        <v>1888</v>
      </c>
      <c r="F111" s="887">
        <f>SUM(F108:F110)</f>
        <v>8880</v>
      </c>
      <c r="G111" s="887">
        <f>SUM(G108:G110)</f>
        <v>8880</v>
      </c>
      <c r="H111" s="887">
        <f>SUM(H108:H110)</f>
        <v>0</v>
      </c>
      <c r="I111" s="627"/>
    </row>
    <row r="112" spans="1:9" s="112" customFormat="1" ht="13.5" customHeight="1" x14ac:dyDescent="0.15">
      <c r="A112" s="331"/>
      <c r="B112" s="89"/>
      <c r="C112" s="91"/>
      <c r="D112" s="91"/>
      <c r="E112" s="91"/>
      <c r="F112" s="91"/>
      <c r="G112" s="91"/>
      <c r="H112" s="91"/>
      <c r="I112" s="627"/>
    </row>
    <row r="113" spans="1:14" s="112" customFormat="1" ht="13.5" customHeight="1" x14ac:dyDescent="0.15">
      <c r="A113" s="331"/>
      <c r="B113" s="89" t="s">
        <v>199</v>
      </c>
      <c r="C113" s="91"/>
      <c r="D113" s="91"/>
      <c r="E113" s="91"/>
      <c r="F113" s="91"/>
      <c r="G113" s="91"/>
      <c r="H113" s="91"/>
      <c r="I113" s="627"/>
    </row>
    <row r="114" spans="1:14" s="977" customFormat="1" ht="21.75" customHeight="1" x14ac:dyDescent="0.2">
      <c r="A114" s="130" t="s">
        <v>508</v>
      </c>
      <c r="B114" s="109" t="s">
        <v>198</v>
      </c>
      <c r="C114" s="495" t="s">
        <v>327</v>
      </c>
      <c r="D114" s="495">
        <v>394</v>
      </c>
      <c r="E114" s="495">
        <v>106</v>
      </c>
      <c r="F114" s="497">
        <v>500</v>
      </c>
      <c r="G114" s="495">
        <v>500</v>
      </c>
      <c r="H114" s="1035"/>
      <c r="I114" s="976"/>
    </row>
    <row r="115" spans="1:14" s="977" customFormat="1" ht="21.75" customHeight="1" thickBot="1" x14ac:dyDescent="0.25">
      <c r="A115" s="504" t="s">
        <v>516</v>
      </c>
      <c r="B115" s="500" t="s">
        <v>1120</v>
      </c>
      <c r="C115" s="978" t="s">
        <v>327</v>
      </c>
      <c r="D115" s="978">
        <v>709</v>
      </c>
      <c r="E115" s="978">
        <v>191</v>
      </c>
      <c r="F115" s="979">
        <f>SUM(D115:E115)</f>
        <v>900</v>
      </c>
      <c r="G115" s="978">
        <v>900</v>
      </c>
      <c r="H115" s="979"/>
      <c r="I115" s="976"/>
    </row>
    <row r="116" spans="1:14" s="977" customFormat="1" ht="21.75" customHeight="1" thickBot="1" x14ac:dyDescent="0.25">
      <c r="A116" s="505"/>
      <c r="B116" s="498" t="s">
        <v>200</v>
      </c>
      <c r="C116" s="887"/>
      <c r="D116" s="887">
        <f>SUM(D114:D115)</f>
        <v>1103</v>
      </c>
      <c r="E116" s="887">
        <f>SUM(E114:E115)</f>
        <v>297</v>
      </c>
      <c r="F116" s="887">
        <f>SUM(F114:F115)</f>
        <v>1400</v>
      </c>
      <c r="G116" s="887">
        <f>SUM(G114:G115)</f>
        <v>1400</v>
      </c>
      <c r="H116" s="887"/>
      <c r="I116" s="976"/>
    </row>
    <row r="117" spans="1:14" s="112" customFormat="1" ht="13.5" customHeight="1" x14ac:dyDescent="0.2">
      <c r="A117" s="130"/>
      <c r="B117" s="109"/>
      <c r="C117" s="90"/>
      <c r="D117" s="90"/>
      <c r="E117" s="90"/>
      <c r="F117" s="91"/>
      <c r="G117" s="99"/>
      <c r="H117" s="107"/>
      <c r="I117" s="627"/>
      <c r="N117" s="659"/>
    </row>
    <row r="118" spans="1:14" s="112" customFormat="1" ht="13.5" customHeight="1" x14ac:dyDescent="0.15">
      <c r="A118" s="331" t="s">
        <v>541</v>
      </c>
      <c r="B118" s="89" t="s">
        <v>542</v>
      </c>
      <c r="C118" s="91"/>
      <c r="D118" s="91"/>
      <c r="E118" s="91"/>
      <c r="F118" s="91"/>
      <c r="G118" s="99"/>
      <c r="H118" s="107"/>
      <c r="I118" s="627"/>
    </row>
    <row r="119" spans="1:14" s="112" customFormat="1" ht="18.75" customHeight="1" thickBot="1" x14ac:dyDescent="0.25">
      <c r="A119" s="504"/>
      <c r="B119" s="109"/>
      <c r="C119" s="90"/>
      <c r="D119" s="90"/>
      <c r="E119" s="90"/>
      <c r="F119" s="91"/>
      <c r="G119" s="86"/>
      <c r="H119" s="641"/>
      <c r="I119" s="627"/>
    </row>
    <row r="120" spans="1:14" s="112" customFormat="1" ht="21.75" customHeight="1" thickBot="1" x14ac:dyDescent="0.25">
      <c r="A120" s="501"/>
      <c r="B120" s="108" t="s">
        <v>543</v>
      </c>
      <c r="C120" s="113"/>
      <c r="D120" s="94"/>
      <c r="E120" s="94"/>
      <c r="F120" s="94"/>
      <c r="G120" s="94"/>
      <c r="H120" s="94"/>
      <c r="I120" s="627"/>
    </row>
    <row r="121" spans="1:14" s="83" customFormat="1" ht="13.5" customHeight="1" thickBot="1" x14ac:dyDescent="0.25">
      <c r="A121" s="130"/>
      <c r="B121" s="109"/>
      <c r="C121" s="90"/>
      <c r="D121" s="90"/>
      <c r="E121" s="90"/>
      <c r="F121" s="91"/>
      <c r="G121" s="86"/>
      <c r="H121" s="128"/>
      <c r="I121" s="625"/>
    </row>
    <row r="122" spans="1:14" s="112" customFormat="1" ht="20.25" customHeight="1" thickBot="1" x14ac:dyDescent="0.2">
      <c r="A122" s="501"/>
      <c r="B122" s="108" t="s">
        <v>544</v>
      </c>
      <c r="C122" s="534"/>
      <c r="D122" s="534">
        <f>D14+D19+D42+D52+D57+D66+D70+D80+D85+D95+D100+D105+D111+D120+D116</f>
        <v>1718059</v>
      </c>
      <c r="E122" s="534">
        <f>E14+E19+E42+E52+E57+E66+E70+E80+E85+E95+E100+E105+E111+E120+E116</f>
        <v>442029</v>
      </c>
      <c r="F122" s="534">
        <f>F14+F19+F42+F52+F57+F66+F70+F80+F85+F95+F100+F105+F111+F120+F116</f>
        <v>2160088</v>
      </c>
      <c r="G122" s="534">
        <f>G14+G19+G42+G52+G57+G66+G70+G80+G85+G95+G100+G105+G111+G120+G116</f>
        <v>2073962</v>
      </c>
      <c r="H122" s="534">
        <f>H14+H19+H42+H52+H57+H66+H70+H80+H85+H95+H100+H105+H111+H120+H116</f>
        <v>86126</v>
      </c>
      <c r="I122" s="627"/>
    </row>
    <row r="125" spans="1:14" ht="14.1" customHeight="1" x14ac:dyDescent="0.2">
      <c r="E125" s="114"/>
      <c r="F125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8"/>
  <sheetViews>
    <sheetView workbookViewId="0">
      <selection activeCell="I14" sqref="I14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223" t="s">
        <v>1237</v>
      </c>
      <c r="B2" s="1223"/>
      <c r="C2" s="1223"/>
      <c r="D2" s="1223"/>
      <c r="E2" s="1223"/>
    </row>
    <row r="3" spans="1:5" x14ac:dyDescent="0.25">
      <c r="B3" s="18"/>
      <c r="C3" s="341"/>
    </row>
    <row r="4" spans="1:5" ht="15" customHeight="1" x14ac:dyDescent="0.25">
      <c r="A4" s="1224" t="s">
        <v>78</v>
      </c>
      <c r="B4" s="1224"/>
      <c r="C4" s="1224"/>
      <c r="D4" s="1224"/>
      <c r="E4" s="1224"/>
    </row>
    <row r="5" spans="1:5" ht="15" customHeight="1" x14ac:dyDescent="0.25">
      <c r="A5" s="1225" t="s">
        <v>1129</v>
      </c>
      <c r="B5" s="1225"/>
      <c r="C5" s="1225"/>
      <c r="D5" s="1225"/>
      <c r="E5" s="1225"/>
    </row>
    <row r="6" spans="1:5" ht="15" customHeight="1" x14ac:dyDescent="0.25">
      <c r="A6" s="1225" t="s">
        <v>554</v>
      </c>
      <c r="B6" s="1225"/>
      <c r="C6" s="1225"/>
      <c r="D6" s="1225"/>
      <c r="E6" s="1225"/>
    </row>
    <row r="7" spans="1:5" ht="15" customHeight="1" x14ac:dyDescent="0.25">
      <c r="B7" s="1225"/>
      <c r="C7" s="1225"/>
    </row>
    <row r="8" spans="1:5" s="19" customFormat="1" ht="20.100000000000001" customHeight="1" x14ac:dyDescent="0.25">
      <c r="A8" s="1226" t="s">
        <v>321</v>
      </c>
      <c r="B8" s="1227"/>
      <c r="C8" s="1227"/>
      <c r="D8" s="1227"/>
      <c r="E8" s="1227"/>
    </row>
    <row r="9" spans="1:5" s="19" customFormat="1" ht="20.100000000000001" customHeight="1" x14ac:dyDescent="0.25">
      <c r="A9" s="1230" t="s">
        <v>77</v>
      </c>
      <c r="B9" s="511" t="s">
        <v>57</v>
      </c>
      <c r="C9" s="1229" t="s">
        <v>58</v>
      </c>
      <c r="D9" s="1229"/>
      <c r="E9" s="1229"/>
    </row>
    <row r="10" spans="1:5" ht="46.5" customHeight="1" x14ac:dyDescent="0.25">
      <c r="A10" s="1230"/>
      <c r="B10" s="1222" t="s">
        <v>86</v>
      </c>
      <c r="C10" s="1228" t="s">
        <v>1200</v>
      </c>
      <c r="D10" s="1228"/>
      <c r="E10" s="1228"/>
    </row>
    <row r="11" spans="1:5" ht="20.100000000000001" customHeight="1" x14ac:dyDescent="0.25">
      <c r="A11" s="1230"/>
      <c r="B11" s="1222"/>
      <c r="C11" s="510" t="s">
        <v>189</v>
      </c>
      <c r="D11" s="512" t="s">
        <v>190</v>
      </c>
      <c r="E11" s="513" t="s">
        <v>191</v>
      </c>
    </row>
    <row r="12" spans="1:5" ht="20.100000000000001" customHeight="1" x14ac:dyDescent="0.25">
      <c r="A12" s="21" t="s">
        <v>508</v>
      </c>
      <c r="B12" s="22" t="s">
        <v>555</v>
      </c>
      <c r="C12" s="642"/>
      <c r="D12" s="643"/>
      <c r="E12" s="644"/>
    </row>
    <row r="13" spans="1:5" ht="20.100000000000001" customHeight="1" x14ac:dyDescent="0.25">
      <c r="A13" s="21" t="s">
        <v>516</v>
      </c>
      <c r="B13" s="23" t="s">
        <v>671</v>
      </c>
      <c r="C13" s="645"/>
      <c r="D13" s="646"/>
      <c r="E13" s="647"/>
    </row>
    <row r="14" spans="1:5" ht="30.75" customHeight="1" x14ac:dyDescent="0.25">
      <c r="A14" s="21" t="s">
        <v>517</v>
      </c>
      <c r="B14" s="24" t="s">
        <v>323</v>
      </c>
      <c r="C14" s="645"/>
      <c r="D14" s="648">
        <v>0</v>
      </c>
      <c r="E14" s="649">
        <f>C14+D14</f>
        <v>0</v>
      </c>
    </row>
    <row r="15" spans="1:5" ht="24.6" customHeight="1" x14ac:dyDescent="0.25">
      <c r="A15" s="21" t="s">
        <v>518</v>
      </c>
      <c r="B15" s="24" t="s">
        <v>680</v>
      </c>
      <c r="C15" s="645">
        <f>181701-26743-78232</f>
        <v>76726</v>
      </c>
      <c r="D15" s="648">
        <v>0</v>
      </c>
      <c r="E15" s="649">
        <f>C15+D15</f>
        <v>76726</v>
      </c>
    </row>
    <row r="16" spans="1:5" ht="36" customHeight="1" x14ac:dyDescent="0.25">
      <c r="A16" s="21" t="s">
        <v>519</v>
      </c>
      <c r="B16" s="28" t="s">
        <v>1152</v>
      </c>
      <c r="C16" s="645">
        <v>78232</v>
      </c>
      <c r="D16" s="650"/>
      <c r="E16" s="649">
        <f>C16+D16</f>
        <v>78232</v>
      </c>
    </row>
    <row r="17" spans="1:5" ht="35.25" customHeight="1" x14ac:dyDescent="0.25">
      <c r="A17" s="21" t="s">
        <v>520</v>
      </c>
      <c r="B17" s="28" t="s">
        <v>1185</v>
      </c>
      <c r="C17" s="952">
        <v>110160</v>
      </c>
      <c r="D17" s="650"/>
      <c r="E17" s="649">
        <f>C17+D17</f>
        <v>110160</v>
      </c>
    </row>
    <row r="18" spans="1:5" s="15" customFormat="1" ht="19.5" customHeight="1" x14ac:dyDescent="0.25">
      <c r="A18" s="21" t="s">
        <v>521</v>
      </c>
      <c r="B18" s="26" t="s">
        <v>49</v>
      </c>
      <c r="C18" s="651">
        <f>SUM(C14:C17)</f>
        <v>265118</v>
      </c>
      <c r="D18" s="652">
        <f>SUM(D14:D16)</f>
        <v>0</v>
      </c>
      <c r="E18" s="649">
        <f>C18+D18</f>
        <v>265118</v>
      </c>
    </row>
    <row r="19" spans="1:5" s="15" customFormat="1" ht="19.5" customHeight="1" x14ac:dyDescent="0.25">
      <c r="A19" s="21" t="s">
        <v>522</v>
      </c>
      <c r="B19" s="26"/>
      <c r="C19" s="651"/>
      <c r="D19" s="653"/>
      <c r="E19" s="654"/>
    </row>
    <row r="20" spans="1:5" ht="19.5" customHeight="1" x14ac:dyDescent="0.25">
      <c r="A20" s="21" t="s">
        <v>523</v>
      </c>
      <c r="B20" s="26" t="s">
        <v>672</v>
      </c>
      <c r="C20" s="645"/>
      <c r="D20" s="646"/>
      <c r="E20" s="655"/>
    </row>
    <row r="21" spans="1:5" ht="21" customHeight="1" x14ac:dyDescent="0.25">
      <c r="A21" s="21" t="s">
        <v>565</v>
      </c>
      <c r="B21" s="17" t="s">
        <v>556</v>
      </c>
      <c r="C21" s="645"/>
      <c r="D21" s="648">
        <v>60000</v>
      </c>
      <c r="E21" s="649">
        <f>C21+D21</f>
        <v>60000</v>
      </c>
    </row>
    <row r="22" spans="1:5" ht="21.75" customHeight="1" x14ac:dyDescent="0.25">
      <c r="A22" s="21" t="s">
        <v>566</v>
      </c>
      <c r="B22" s="24" t="s">
        <v>557</v>
      </c>
      <c r="C22" s="645"/>
      <c r="D22" s="648">
        <v>5000</v>
      </c>
      <c r="E22" s="649">
        <f>C22+D22</f>
        <v>5000</v>
      </c>
    </row>
    <row r="23" spans="1:5" ht="41.25" customHeight="1" x14ac:dyDescent="0.25">
      <c r="A23" s="21" t="s">
        <v>567</v>
      </c>
      <c r="B23" s="973" t="s">
        <v>1029</v>
      </c>
      <c r="C23" s="970"/>
      <c r="D23" s="971">
        <v>88</v>
      </c>
      <c r="E23" s="972">
        <f>C23+D23</f>
        <v>88</v>
      </c>
    </row>
    <row r="24" spans="1:5" s="15" customFormat="1" ht="21" customHeight="1" x14ac:dyDescent="0.25">
      <c r="A24" s="21" t="s">
        <v>568</v>
      </c>
      <c r="B24" s="26" t="s">
        <v>673</v>
      </c>
      <c r="C24" s="651">
        <f>SUM(C21:C22)</f>
        <v>0</v>
      </c>
      <c r="D24" s="652">
        <f>SUM(D21:D23)</f>
        <v>65088</v>
      </c>
      <c r="E24" s="649">
        <f>C24+D24</f>
        <v>65088</v>
      </c>
    </row>
    <row r="25" spans="1:5" s="15" customFormat="1" ht="22.5" customHeight="1" x14ac:dyDescent="0.25">
      <c r="A25" s="21" t="s">
        <v>569</v>
      </c>
      <c r="B25" s="28" t="s">
        <v>558</v>
      </c>
      <c r="C25" s="951">
        <f>C18+C24</f>
        <v>265118</v>
      </c>
      <c r="D25" s="37">
        <f>D18+D24</f>
        <v>65088</v>
      </c>
      <c r="E25" s="649">
        <f>C25+D25</f>
        <v>330206</v>
      </c>
    </row>
    <row r="26" spans="1:5" ht="20.100000000000001" customHeight="1" x14ac:dyDescent="0.25">
      <c r="A26" s="21" t="s">
        <v>570</v>
      </c>
      <c r="B26" s="24"/>
      <c r="C26" s="952"/>
      <c r="D26" s="650"/>
      <c r="E26" s="655"/>
    </row>
    <row r="27" spans="1:5" ht="20.100000000000001" customHeight="1" x14ac:dyDescent="0.25">
      <c r="A27" s="21" t="s">
        <v>571</v>
      </c>
      <c r="B27" s="22" t="s">
        <v>559</v>
      </c>
      <c r="C27" s="952"/>
      <c r="D27" s="650"/>
      <c r="E27" s="655"/>
    </row>
    <row r="28" spans="1:5" ht="20.100000000000001" customHeight="1" x14ac:dyDescent="0.25">
      <c r="A28" s="21" t="s">
        <v>572</v>
      </c>
      <c r="B28" s="17" t="s">
        <v>560</v>
      </c>
      <c r="C28" s="952">
        <f>20000-1838</f>
        <v>18162</v>
      </c>
      <c r="D28" s="650">
        <v>0</v>
      </c>
      <c r="E28" s="656">
        <f>C28+D28</f>
        <v>18162</v>
      </c>
    </row>
    <row r="29" spans="1:5" ht="20.100000000000001" customHeight="1" x14ac:dyDescent="0.25">
      <c r="A29" s="21" t="s">
        <v>574</v>
      </c>
      <c r="B29" s="28" t="s">
        <v>201</v>
      </c>
      <c r="C29" s="952"/>
      <c r="D29" s="650"/>
      <c r="E29" s="656"/>
    </row>
    <row r="30" spans="1:5" ht="32.25" customHeight="1" x14ac:dyDescent="0.25">
      <c r="A30" s="21" t="s">
        <v>575</v>
      </c>
      <c r="B30" s="815" t="s">
        <v>1153</v>
      </c>
      <c r="C30" s="953">
        <v>1838</v>
      </c>
      <c r="D30" s="657"/>
      <c r="E30" s="658">
        <f>SUM(C30:D30)</f>
        <v>1838</v>
      </c>
    </row>
    <row r="31" spans="1:5" s="15" customFormat="1" ht="20.100000000000001" customHeight="1" x14ac:dyDescent="0.25">
      <c r="A31" s="21" t="s">
        <v>576</v>
      </c>
      <c r="B31" s="1034" t="s">
        <v>561</v>
      </c>
      <c r="C31" s="37">
        <f>C28+C30</f>
        <v>20000</v>
      </c>
      <c r="D31" s="37">
        <f t="shared" ref="D31:E31" si="0">D28+D30</f>
        <v>0</v>
      </c>
      <c r="E31" s="649">
        <f t="shared" si="0"/>
        <v>20000</v>
      </c>
    </row>
    <row r="32" spans="1:5" s="15" customFormat="1" ht="20.100000000000001" customHeight="1" x14ac:dyDescent="0.25">
      <c r="A32" s="21" t="s">
        <v>577</v>
      </c>
      <c r="B32" s="29" t="s">
        <v>324</v>
      </c>
      <c r="C32" s="954">
        <f>C25+C31</f>
        <v>285118</v>
      </c>
      <c r="D32" s="955">
        <f>D25+D31</f>
        <v>65088</v>
      </c>
      <c r="E32" s="956">
        <f>E25+E31</f>
        <v>350206</v>
      </c>
    </row>
    <row r="33" spans="1:8" s="15" customFormat="1" ht="20.100000000000001" customHeight="1" x14ac:dyDescent="0.25">
      <c r="A33" s="16"/>
      <c r="B33" s="29"/>
      <c r="C33" s="27"/>
      <c r="D33" s="374"/>
    </row>
    <row r="34" spans="1:8" ht="19.5" customHeight="1" x14ac:dyDescent="0.25">
      <c r="B34" s="30"/>
      <c r="C34" s="25"/>
    </row>
    <row r="35" spans="1:8" ht="15" customHeight="1" x14ac:dyDescent="0.25">
      <c r="B35" s="17"/>
      <c r="C35" s="25"/>
      <c r="H35" s="529"/>
    </row>
    <row r="36" spans="1:8" x14ac:dyDescent="0.25">
      <c r="B36" s="17"/>
      <c r="C36" s="25"/>
    </row>
    <row r="37" spans="1:8" x14ac:dyDescent="0.25">
      <c r="B37" s="17"/>
      <c r="C37" s="25"/>
    </row>
    <row r="38" spans="1:8" x14ac:dyDescent="0.25">
      <c r="B38" s="17"/>
      <c r="C38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60"/>
  <sheetViews>
    <sheetView zoomScale="120" workbookViewId="0">
      <selection activeCell="P51" sqref="P5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38.710937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34" hidden="1" customWidth="1"/>
    <col min="11" max="11" width="7.140625" style="334" hidden="1" customWidth="1"/>
    <col min="12" max="12" width="7.85546875" style="334" hidden="1" customWidth="1"/>
    <col min="13" max="16384" width="9.140625" style="10"/>
  </cols>
  <sheetData>
    <row r="1" spans="1:13" ht="12.75" x14ac:dyDescent="0.2">
      <c r="C1" s="1131" t="s">
        <v>1238</v>
      </c>
      <c r="D1" s="1179"/>
      <c r="E1" s="1179"/>
      <c r="F1" s="1179"/>
      <c r="G1" s="1179"/>
      <c r="H1" s="1179"/>
      <c r="I1" s="1179"/>
      <c r="J1" s="1179"/>
      <c r="K1" s="1179"/>
      <c r="L1" s="1179"/>
    </row>
    <row r="2" spans="1:13" x14ac:dyDescent="0.2">
      <c r="I2" s="159"/>
    </row>
    <row r="3" spans="1:13" s="122" customFormat="1" ht="12.75" x14ac:dyDescent="0.2">
      <c r="A3" s="160"/>
      <c r="B3" s="1134" t="s">
        <v>78</v>
      </c>
      <c r="C3" s="1134"/>
      <c r="D3" s="1134"/>
      <c r="E3" s="1134"/>
      <c r="F3" s="1134"/>
      <c r="G3" s="1134"/>
      <c r="H3" s="1134"/>
      <c r="I3" s="1134"/>
      <c r="J3" s="1179"/>
      <c r="K3" s="1179"/>
      <c r="L3" s="1179"/>
    </row>
    <row r="4" spans="1:13" s="122" customFormat="1" x14ac:dyDescent="0.2">
      <c r="A4" s="160"/>
      <c r="B4" s="1231" t="s">
        <v>1130</v>
      </c>
      <c r="C4" s="1231"/>
      <c r="D4" s="1231"/>
      <c r="E4" s="1231"/>
      <c r="F4" s="1231"/>
      <c r="G4" s="1231"/>
      <c r="H4" s="1231"/>
      <c r="I4" s="1231"/>
    </row>
    <row r="5" spans="1:13" s="122" customFormat="1" ht="12.75" x14ac:dyDescent="0.2">
      <c r="A5" s="1135" t="s">
        <v>321</v>
      </c>
      <c r="B5" s="1181"/>
      <c r="C5" s="1181"/>
      <c r="D5" s="1181"/>
      <c r="E5" s="1181"/>
      <c r="F5" s="1181"/>
      <c r="G5" s="1181"/>
      <c r="H5" s="1181"/>
      <c r="I5" s="1181"/>
      <c r="J5" s="1181"/>
      <c r="K5" s="1181"/>
      <c r="L5" s="1181"/>
    </row>
    <row r="6" spans="1:13" s="122" customFormat="1" ht="12.75" customHeight="1" x14ac:dyDescent="0.2">
      <c r="A6" s="1139" t="s">
        <v>56</v>
      </c>
      <c r="B6" s="1140" t="s">
        <v>57</v>
      </c>
      <c r="C6" s="1155" t="s">
        <v>58</v>
      </c>
      <c r="D6" s="1155"/>
      <c r="E6" s="1156"/>
      <c r="F6" s="1233" t="s">
        <v>59</v>
      </c>
      <c r="G6" s="1137" t="s">
        <v>60</v>
      </c>
      <c r="H6" s="1138"/>
      <c r="I6" s="1232"/>
      <c r="M6" s="629"/>
    </row>
    <row r="7" spans="1:13" s="122" customFormat="1" ht="12.75" customHeight="1" x14ac:dyDescent="0.2">
      <c r="A7" s="1139"/>
      <c r="B7" s="1140"/>
      <c r="C7" s="1132" t="s">
        <v>1125</v>
      </c>
      <c r="D7" s="1132"/>
      <c r="E7" s="1133"/>
      <c r="F7" s="1233"/>
      <c r="G7" s="1132" t="s">
        <v>1125</v>
      </c>
      <c r="H7" s="1132"/>
      <c r="I7" s="1132"/>
      <c r="M7" s="629"/>
    </row>
    <row r="8" spans="1:13" s="123" customFormat="1" ht="36.6" customHeight="1" x14ac:dyDescent="0.2">
      <c r="A8" s="1139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30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62"/>
      <c r="J9" s="10"/>
      <c r="K9" s="10"/>
      <c r="L9" s="10"/>
      <c r="M9" s="193"/>
    </row>
    <row r="10" spans="1:13" x14ac:dyDescent="0.2">
      <c r="A10" s="164">
        <f t="shared" ref="A10:A53" si="0">A9+1</f>
        <v>2</v>
      </c>
      <c r="B10" s="167" t="s">
        <v>35</v>
      </c>
      <c r="C10" s="301"/>
      <c r="D10" s="301"/>
      <c r="E10" s="289">
        <f>SUM(C10:D10)</f>
        <v>0</v>
      </c>
      <c r="F10" s="516" t="s">
        <v>231</v>
      </c>
      <c r="G10" s="289">
        <f>'műk. kiad. szakf Önkorm. '!D60</f>
        <v>60368</v>
      </c>
      <c r="H10" s="289">
        <f>'műk. kiad. szakf Önkorm. '!E60</f>
        <v>47841</v>
      </c>
      <c r="I10" s="483">
        <f>SUM(G10:H10)</f>
        <v>108209</v>
      </c>
      <c r="J10" s="10"/>
      <c r="K10" s="10"/>
      <c r="L10" s="10"/>
      <c r="M10" s="193"/>
    </row>
    <row r="11" spans="1:13" x14ac:dyDescent="0.2">
      <c r="A11" s="164">
        <f t="shared" si="0"/>
        <v>3</v>
      </c>
      <c r="B11" s="167" t="s">
        <v>206</v>
      </c>
      <c r="C11" s="301">
        <f>'tám, végl. pe.átv  '!C11+'tám, végl. pe.átv  '!C19+'tám, végl. pe.átv  '!C20</f>
        <v>722724</v>
      </c>
      <c r="D11" s="301">
        <f>'tám, végl. pe.átv  '!D11+'tám, végl. pe.átv  '!D19+'tám, végl. pe.átv  '!D20</f>
        <v>93769</v>
      </c>
      <c r="E11" s="301">
        <f>'tám, végl. pe.átv  '!E11+'tám, végl. pe.átv  '!E19+'tám, végl. pe.átv  '!E20</f>
        <v>816493</v>
      </c>
      <c r="F11" s="516" t="s">
        <v>232</v>
      </c>
      <c r="G11" s="289">
        <f>'műk. kiad. szakf Önkorm. '!F60</f>
        <v>18106</v>
      </c>
      <c r="H11" s="289">
        <f>'műk. kiad. szakf Önkorm. '!G60</f>
        <v>16376.32</v>
      </c>
      <c r="I11" s="483">
        <f>SUM(G11:H11)</f>
        <v>34482.32</v>
      </c>
      <c r="J11" s="10"/>
      <c r="K11" s="10"/>
      <c r="L11" s="10"/>
      <c r="M11" s="193"/>
    </row>
    <row r="12" spans="1:13" x14ac:dyDescent="0.2">
      <c r="A12" s="164">
        <f t="shared" si="0"/>
        <v>4</v>
      </c>
      <c r="B12" s="167" t="s">
        <v>203</v>
      </c>
      <c r="C12" s="301"/>
      <c r="D12" s="301">
        <v>0</v>
      </c>
      <c r="E12" s="301">
        <f>C12+D12</f>
        <v>0</v>
      </c>
      <c r="F12" s="516" t="s">
        <v>233</v>
      </c>
      <c r="G12" s="289">
        <f>'műk. kiad. szakf Önkorm. '!H60</f>
        <v>265703</v>
      </c>
      <c r="H12" s="289">
        <f>'műk. kiad. szakf Önkorm. '!I60</f>
        <v>184545</v>
      </c>
      <c r="I12" s="483">
        <f>SUM(G12:H12)</f>
        <v>450248</v>
      </c>
      <c r="J12" s="10"/>
      <c r="K12" s="10"/>
      <c r="L12" s="10"/>
      <c r="M12" s="193"/>
    </row>
    <row r="13" spans="1:13" ht="12" customHeight="1" x14ac:dyDescent="0.2">
      <c r="A13" s="164">
        <f t="shared" si="0"/>
        <v>5</v>
      </c>
      <c r="B13" s="558" t="s">
        <v>207</v>
      </c>
      <c r="C13" s="301">
        <f>'tám, végl. pe.átv  '!C37</f>
        <v>11657</v>
      </c>
      <c r="D13" s="301">
        <f>'tám, végl. pe.átv  '!D37</f>
        <v>0</v>
      </c>
      <c r="E13" s="301">
        <f>'tám, végl. pe.átv  '!E37</f>
        <v>11657</v>
      </c>
      <c r="F13" s="516"/>
      <c r="G13" s="301"/>
      <c r="H13" s="301"/>
      <c r="I13" s="483"/>
      <c r="J13" s="10"/>
      <c r="K13" s="10"/>
      <c r="L13" s="10"/>
      <c r="M13" s="193"/>
    </row>
    <row r="14" spans="1:13" x14ac:dyDescent="0.2">
      <c r="A14" s="164">
        <f t="shared" si="0"/>
        <v>6</v>
      </c>
      <c r="B14" s="167" t="s">
        <v>208</v>
      </c>
      <c r="C14" s="301">
        <f>'felh. bev.  '!D25</f>
        <v>0</v>
      </c>
      <c r="D14" s="301">
        <f>'felh. bev.  '!E25</f>
        <v>0</v>
      </c>
      <c r="E14" s="289">
        <f>SUM(C14:D14)</f>
        <v>0</v>
      </c>
      <c r="F14" s="516" t="s">
        <v>234</v>
      </c>
      <c r="G14" s="296">
        <f>'műk. kiad. szakf Önkorm. '!P60</f>
        <v>0</v>
      </c>
      <c r="H14" s="296">
        <f>'ellátottak önk.'!F32</f>
        <v>13750</v>
      </c>
      <c r="I14" s="483">
        <f>SUM(G14:H14)</f>
        <v>13750</v>
      </c>
      <c r="J14" s="10"/>
      <c r="K14" s="10"/>
      <c r="L14" s="10"/>
      <c r="M14" s="193"/>
    </row>
    <row r="15" spans="1:13" x14ac:dyDescent="0.2">
      <c r="A15" s="164">
        <f t="shared" si="0"/>
        <v>7</v>
      </c>
      <c r="B15" s="167"/>
      <c r="C15" s="301"/>
      <c r="D15" s="301"/>
      <c r="E15" s="289"/>
      <c r="F15" s="516" t="s">
        <v>235</v>
      </c>
      <c r="G15" s="296"/>
      <c r="H15" s="296"/>
      <c r="I15" s="483"/>
      <c r="J15" s="10"/>
      <c r="K15" s="10"/>
      <c r="L15" s="10"/>
      <c r="M15" s="193"/>
    </row>
    <row r="16" spans="1:13" x14ac:dyDescent="0.2">
      <c r="A16" s="164">
        <f t="shared" si="0"/>
        <v>8</v>
      </c>
      <c r="B16" s="167" t="s">
        <v>209</v>
      </c>
      <c r="C16" s="301">
        <f>'közhatalmi bevételek'!D31</f>
        <v>543007</v>
      </c>
      <c r="D16" s="301">
        <f>'közhatalmi bevételek'!E31</f>
        <v>692313</v>
      </c>
      <c r="E16" s="301">
        <f>'közhatalmi bevételek'!F31</f>
        <v>1235320</v>
      </c>
      <c r="F16" s="516" t="s">
        <v>236</v>
      </c>
      <c r="G16" s="296">
        <f>mc.pe.átad!D21</f>
        <v>7750</v>
      </c>
      <c r="H16" s="296">
        <f>mc.pe.átad!E21</f>
        <v>40162</v>
      </c>
      <c r="I16" s="296">
        <f>mc.pe.átad!F21</f>
        <v>47912</v>
      </c>
      <c r="J16" s="10"/>
      <c r="K16" s="10"/>
      <c r="L16" s="10"/>
      <c r="M16" s="193"/>
    </row>
    <row r="17" spans="1:14" x14ac:dyDescent="0.2">
      <c r="A17" s="164">
        <f t="shared" si="0"/>
        <v>9</v>
      </c>
      <c r="B17" s="170" t="s">
        <v>40</v>
      </c>
      <c r="C17" s="367"/>
      <c r="D17" s="367"/>
      <c r="E17" s="367"/>
      <c r="F17" s="516" t="s">
        <v>237</v>
      </c>
      <c r="G17" s="296">
        <f>mc.pe.átad!D51</f>
        <v>266185</v>
      </c>
      <c r="H17" s="296">
        <f>mc.pe.átad!E51</f>
        <v>19908</v>
      </c>
      <c r="I17" s="296">
        <f>mc.pe.átad!F51</f>
        <v>286093</v>
      </c>
      <c r="J17" s="10"/>
      <c r="K17" s="10"/>
      <c r="L17" s="10"/>
      <c r="M17" s="193"/>
    </row>
    <row r="18" spans="1:14" x14ac:dyDescent="0.2">
      <c r="A18" s="164">
        <f t="shared" si="0"/>
        <v>10</v>
      </c>
      <c r="B18" s="170"/>
      <c r="C18" s="367"/>
      <c r="D18" s="367"/>
      <c r="E18" s="367"/>
      <c r="F18" s="516" t="s">
        <v>285</v>
      </c>
      <c r="G18" s="296">
        <f>'műk. kiad. szakf Önkorm. '!N60</f>
        <v>451</v>
      </c>
      <c r="H18" s="296">
        <f>'műk. kiad. szakf Önkorm. '!O60</f>
        <v>0</v>
      </c>
      <c r="I18" s="296">
        <f>G18+H18</f>
        <v>451</v>
      </c>
      <c r="J18" s="10"/>
      <c r="K18" s="10"/>
      <c r="L18" s="10"/>
      <c r="M18" s="193"/>
    </row>
    <row r="19" spans="1:14" x14ac:dyDescent="0.2">
      <c r="A19" s="164">
        <f t="shared" si="0"/>
        <v>11</v>
      </c>
      <c r="B19" s="116" t="s">
        <v>210</v>
      </c>
      <c r="C19" s="367">
        <v>40369</v>
      </c>
      <c r="D19" s="367">
        <f>43775+2745</f>
        <v>46520</v>
      </c>
      <c r="E19" s="367">
        <f>SUM(C19:D19)</f>
        <v>86889</v>
      </c>
      <c r="F19" s="516" t="s">
        <v>239</v>
      </c>
      <c r="G19" s="296">
        <f>tartalék!C24</f>
        <v>0</v>
      </c>
      <c r="H19" s="296">
        <f>tartalék!D24</f>
        <v>65088</v>
      </c>
      <c r="I19" s="957">
        <f>SUM(G19:H19)</f>
        <v>65088</v>
      </c>
      <c r="J19" s="10"/>
      <c r="K19" s="10"/>
      <c r="L19" s="10"/>
      <c r="M19" s="193"/>
    </row>
    <row r="20" spans="1:14" x14ac:dyDescent="0.2">
      <c r="A20" s="164">
        <f t="shared" si="0"/>
        <v>12</v>
      </c>
      <c r="C20" s="367"/>
      <c r="D20" s="367"/>
      <c r="E20" s="367"/>
      <c r="F20" s="516" t="s">
        <v>286</v>
      </c>
      <c r="G20" s="296">
        <f>tartalék!C31</f>
        <v>20000</v>
      </c>
      <c r="H20" s="296">
        <f>tartalék!D31</f>
        <v>0</v>
      </c>
      <c r="I20" s="296">
        <f>tartalék!E31</f>
        <v>20000</v>
      </c>
      <c r="J20" s="10"/>
      <c r="K20" s="10"/>
      <c r="L20" s="10"/>
      <c r="M20" s="193"/>
    </row>
    <row r="21" spans="1:14" s="124" customFormat="1" x14ac:dyDescent="0.2">
      <c r="A21" s="164">
        <f t="shared" si="0"/>
        <v>13</v>
      </c>
      <c r="B21" s="157" t="s">
        <v>42</v>
      </c>
      <c r="C21" s="367"/>
      <c r="D21" s="367"/>
      <c r="E21" s="367"/>
      <c r="F21" s="628"/>
      <c r="G21" s="296"/>
      <c r="H21" s="296"/>
      <c r="I21" s="485"/>
      <c r="M21" s="631"/>
    </row>
    <row r="22" spans="1:14" s="124" customFormat="1" x14ac:dyDescent="0.2">
      <c r="A22" s="164">
        <f t="shared" si="0"/>
        <v>14</v>
      </c>
      <c r="B22" s="157" t="s">
        <v>982</v>
      </c>
      <c r="C22" s="367"/>
      <c r="D22" s="367"/>
      <c r="E22" s="367"/>
      <c r="F22" s="628"/>
      <c r="G22" s="296"/>
      <c r="H22" s="296"/>
      <c r="I22" s="485"/>
      <c r="M22" s="631"/>
    </row>
    <row r="23" spans="1:14" x14ac:dyDescent="0.2">
      <c r="A23" s="164">
        <f t="shared" si="0"/>
        <v>15</v>
      </c>
      <c r="B23" s="167" t="s">
        <v>981</v>
      </c>
      <c r="C23" s="902"/>
      <c r="D23" s="289">
        <f>'felh. bev.  '!E13</f>
        <v>0</v>
      </c>
      <c r="E23" s="367">
        <f>SUM(C23:D23)</f>
        <v>0</v>
      </c>
      <c r="F23" s="903" t="s">
        <v>66</v>
      </c>
      <c r="G23" s="368">
        <f t="shared" ref="G23:L23" si="1">SUM(G10:G21)</f>
        <v>638563</v>
      </c>
      <c r="H23" s="368">
        <f t="shared" si="1"/>
        <v>387670.32</v>
      </c>
      <c r="I23" s="486">
        <f t="shared" si="1"/>
        <v>1026233.3200000001</v>
      </c>
      <c r="J23" s="125">
        <f t="shared" si="1"/>
        <v>0</v>
      </c>
      <c r="K23" s="125">
        <f t="shared" si="1"/>
        <v>0</v>
      </c>
      <c r="L23" s="456">
        <f t="shared" si="1"/>
        <v>0</v>
      </c>
      <c r="M23" s="193"/>
    </row>
    <row r="24" spans="1:14" x14ac:dyDescent="0.2">
      <c r="A24" s="164">
        <f t="shared" si="0"/>
        <v>16</v>
      </c>
      <c r="B24" s="167" t="s">
        <v>215</v>
      </c>
      <c r="C24" s="367">
        <f>'felh. bev.  '!D14+'felh. bev.  '!D15</f>
        <v>0</v>
      </c>
      <c r="D24" s="367">
        <f>'felh. bev.  '!E14+'felh. bev.  '!E15</f>
        <v>0</v>
      </c>
      <c r="E24" s="367">
        <f>SUM(C24:D24)</f>
        <v>0</v>
      </c>
      <c r="F24" s="628"/>
      <c r="G24" s="296"/>
      <c r="H24" s="296"/>
      <c r="I24" s="485"/>
      <c r="J24" s="10"/>
      <c r="K24" s="10"/>
      <c r="L24" s="10"/>
      <c r="M24" s="193"/>
    </row>
    <row r="25" spans="1:14" x14ac:dyDescent="0.2">
      <c r="A25" s="164">
        <f t="shared" si="0"/>
        <v>17</v>
      </c>
      <c r="B25" s="116" t="s">
        <v>216</v>
      </c>
      <c r="C25" s="289">
        <f>'felh. bev.  '!D21</f>
        <v>0</v>
      </c>
      <c r="D25" s="289">
        <f>'felh. bev.  '!E21</f>
        <v>0</v>
      </c>
      <c r="E25" s="289">
        <f>'felh. bev.  '!F21</f>
        <v>0</v>
      </c>
      <c r="F25" s="904" t="s">
        <v>34</v>
      </c>
      <c r="G25" s="370"/>
      <c r="H25" s="370"/>
      <c r="I25" s="485"/>
      <c r="J25" s="10"/>
      <c r="K25" s="10"/>
      <c r="L25" s="10"/>
      <c r="M25" s="193"/>
    </row>
    <row r="26" spans="1:14" x14ac:dyDescent="0.2">
      <c r="A26" s="164">
        <f t="shared" si="0"/>
        <v>18</v>
      </c>
      <c r="B26" s="167" t="s">
        <v>217</v>
      </c>
      <c r="C26" s="289"/>
      <c r="D26" s="289"/>
      <c r="E26" s="289"/>
      <c r="F26" s="516" t="s">
        <v>288</v>
      </c>
      <c r="G26" s="296">
        <f>'felhalm. kiad.  '!G14+'felhalm. kiad.  '!G42+'felhalm. kiad.  '!G52+'felhalm. kiad.  '!G66</f>
        <v>2008255</v>
      </c>
      <c r="H26" s="296">
        <f>'felhalm. kiad.  '!H14+'felhalm. kiad.  '!H42+'felhalm. kiad.  '!H52+'felhalm. kiad.  '!H57+'felhalm. kiad.  '!H66+'felhalm. kiad.  '!H120</f>
        <v>40371</v>
      </c>
      <c r="I26" s="485">
        <f>SUM(G26:H26)</f>
        <v>2048626</v>
      </c>
      <c r="J26" s="10"/>
      <c r="K26" s="10"/>
      <c r="L26" s="10"/>
      <c r="M26" s="628"/>
      <c r="N26" s="900"/>
    </row>
    <row r="27" spans="1:14" x14ac:dyDescent="0.2">
      <c r="A27" s="164">
        <f t="shared" si="0"/>
        <v>19</v>
      </c>
      <c r="B27" s="167"/>
      <c r="C27" s="289"/>
      <c r="D27" s="289"/>
      <c r="E27" s="289"/>
      <c r="F27" s="516" t="s">
        <v>243</v>
      </c>
      <c r="G27" s="296">
        <f>'felhalm. kiad.  '!G19</f>
        <v>10000</v>
      </c>
      <c r="H27" s="296">
        <f>'felhalm. kiad.  '!H19</f>
        <v>0</v>
      </c>
      <c r="I27" s="485">
        <f>SUM(G27:H27)</f>
        <v>10000</v>
      </c>
      <c r="J27" s="10"/>
      <c r="K27" s="10"/>
      <c r="L27" s="10"/>
      <c r="M27" s="193"/>
    </row>
    <row r="28" spans="1:14" x14ac:dyDescent="0.2">
      <c r="A28" s="164">
        <f t="shared" si="0"/>
        <v>20</v>
      </c>
      <c r="B28" s="157" t="s">
        <v>218</v>
      </c>
      <c r="C28" s="289">
        <f>'tám, végl. pe.átv  '!C41</f>
        <v>0</v>
      </c>
      <c r="D28" s="289">
        <f>'tám, végl. pe.átv  '!D41</f>
        <v>0</v>
      </c>
      <c r="E28" s="289">
        <f>'tám, végl. pe.átv  '!E41</f>
        <v>0</v>
      </c>
      <c r="F28" s="516" t="s">
        <v>244</v>
      </c>
      <c r="G28" s="296"/>
      <c r="H28" s="296"/>
      <c r="I28" s="485">
        <f>SUM(G28:H28)</f>
        <v>0</v>
      </c>
      <c r="J28" s="10"/>
      <c r="K28" s="10"/>
      <c r="L28" s="10"/>
      <c r="M28" s="193"/>
    </row>
    <row r="29" spans="1:14" s="124" customFormat="1" x14ac:dyDescent="0.2">
      <c r="A29" s="164">
        <f t="shared" si="0"/>
        <v>21</v>
      </c>
      <c r="B29" s="157" t="s">
        <v>284</v>
      </c>
      <c r="C29" s="289">
        <f>'felh. bev.  '!D29+'felh. bev.  '!D35</f>
        <v>0</v>
      </c>
      <c r="D29" s="289">
        <f>'felh. bev.  '!E29+'felh. bev.  '!E35</f>
        <v>2870</v>
      </c>
      <c r="E29" s="289">
        <f>'felh. bev.  '!F29+'felh. bev.  '!F35</f>
        <v>2870</v>
      </c>
      <c r="F29" s="516" t="s">
        <v>246</v>
      </c>
      <c r="G29" s="296">
        <f>'felhalm. kiad.  '!G70</f>
        <v>0</v>
      </c>
      <c r="H29" s="296">
        <f>'felhalm. kiad.  '!H70</f>
        <v>0</v>
      </c>
      <c r="I29" s="485">
        <f>SUM(G29:H29)</f>
        <v>0</v>
      </c>
      <c r="M29" s="631"/>
    </row>
    <row r="30" spans="1:14" x14ac:dyDescent="0.2">
      <c r="A30" s="164">
        <f t="shared" si="0"/>
        <v>22</v>
      </c>
      <c r="C30" s="289"/>
      <c r="D30" s="289"/>
      <c r="E30" s="289"/>
      <c r="F30" s="516" t="s">
        <v>245</v>
      </c>
      <c r="G30" s="296">
        <f>'felhalm. kiad.  '!G80+'felhalm. kiad.  '!G85</f>
        <v>33252</v>
      </c>
      <c r="H30" s="296">
        <f>'felhalm. kiad.  '!H80+'felhalm. kiad.  '!H85</f>
        <v>35520</v>
      </c>
      <c r="I30" s="485">
        <f>SUM(G30:H30)</f>
        <v>68772</v>
      </c>
      <c r="J30" s="10"/>
      <c r="K30" s="10"/>
      <c r="L30" s="10"/>
      <c r="M30" s="193"/>
    </row>
    <row r="31" spans="1:14" s="11" customFormat="1" x14ac:dyDescent="0.2">
      <c r="A31" s="164">
        <f t="shared" si="0"/>
        <v>23</v>
      </c>
      <c r="B31" s="174" t="s">
        <v>52</v>
      </c>
      <c r="C31" s="958">
        <f>C12+C19+C11+C16+C13</f>
        <v>1317757</v>
      </c>
      <c r="D31" s="958">
        <f>D12+D19+D11+D16+D13+D28</f>
        <v>832602</v>
      </c>
      <c r="E31" s="958">
        <f>E12+E19+E11+E16+E13+E28</f>
        <v>2150359</v>
      </c>
      <c r="F31" s="516" t="s">
        <v>287</v>
      </c>
      <c r="G31" s="294">
        <f>tartalék!C18</f>
        <v>265118</v>
      </c>
      <c r="H31" s="294">
        <f>tartalék!D18</f>
        <v>0</v>
      </c>
      <c r="I31" s="294">
        <f>tartalék!E18</f>
        <v>265118</v>
      </c>
      <c r="M31" s="531"/>
    </row>
    <row r="32" spans="1:14" x14ac:dyDescent="0.2">
      <c r="A32" s="164">
        <f t="shared" si="0"/>
        <v>24</v>
      </c>
      <c r="B32" s="175" t="s">
        <v>67</v>
      </c>
      <c r="C32" s="368">
        <f>C14+C22+C23+C24+C25+C26+C29</f>
        <v>0</v>
      </c>
      <c r="D32" s="368">
        <f>D14+D22+D23+D24+D25+D26+D29</f>
        <v>2870</v>
      </c>
      <c r="E32" s="368">
        <f>E14+E22+E23+E24+E25+E26+E29</f>
        <v>2870</v>
      </c>
      <c r="F32" s="876" t="s">
        <v>68</v>
      </c>
      <c r="G32" s="368">
        <f>SUM(G26:G31)</f>
        <v>2316625</v>
      </c>
      <c r="H32" s="368">
        <f>SUM(H26:H31)</f>
        <v>75891</v>
      </c>
      <c r="I32" s="486">
        <f>SUM(I26:I31)</f>
        <v>2392516</v>
      </c>
      <c r="J32" s="10"/>
      <c r="K32" s="10"/>
      <c r="L32" s="10"/>
      <c r="M32" s="193"/>
    </row>
    <row r="33" spans="1:13" x14ac:dyDescent="0.2">
      <c r="A33" s="164">
        <f t="shared" si="0"/>
        <v>25</v>
      </c>
      <c r="B33" s="178" t="s">
        <v>51</v>
      </c>
      <c r="C33" s="370">
        <f>SUM(C31:C32)</f>
        <v>1317757</v>
      </c>
      <c r="D33" s="370">
        <f>SUM(D31:D32)</f>
        <v>835472</v>
      </c>
      <c r="E33" s="370">
        <f>SUM(C33:D33)</f>
        <v>2153229</v>
      </c>
      <c r="F33" s="906" t="s">
        <v>69</v>
      </c>
      <c r="G33" s="370">
        <f t="shared" ref="G33:L33" si="2">G23+G32</f>
        <v>2955188</v>
      </c>
      <c r="H33" s="370">
        <f t="shared" si="2"/>
        <v>463561.32</v>
      </c>
      <c r="I33" s="458">
        <f t="shared" si="2"/>
        <v>3418749.3200000003</v>
      </c>
      <c r="J33" s="173">
        <f t="shared" si="2"/>
        <v>0</v>
      </c>
      <c r="K33" s="173">
        <f t="shared" si="2"/>
        <v>0</v>
      </c>
      <c r="L33" s="460">
        <f t="shared" si="2"/>
        <v>0</v>
      </c>
      <c r="M33" s="193"/>
    </row>
    <row r="34" spans="1:13" x14ac:dyDescent="0.2">
      <c r="A34" s="164">
        <f t="shared" si="0"/>
        <v>26</v>
      </c>
      <c r="B34" s="180"/>
      <c r="C34" s="296"/>
      <c r="D34" s="296"/>
      <c r="E34" s="296"/>
      <c r="F34" s="628"/>
      <c r="G34" s="296"/>
      <c r="H34" s="296"/>
      <c r="I34" s="485"/>
      <c r="J34" s="10"/>
      <c r="K34" s="10"/>
      <c r="L34" s="10"/>
      <c r="M34" s="193"/>
    </row>
    <row r="35" spans="1:13" x14ac:dyDescent="0.2">
      <c r="A35" s="164">
        <f t="shared" si="0"/>
        <v>27</v>
      </c>
      <c r="B35" s="178" t="s">
        <v>23</v>
      </c>
      <c r="C35" s="370">
        <f>C33-G33</f>
        <v>-1637431</v>
      </c>
      <c r="D35" s="370">
        <f t="shared" ref="D35:E35" si="3">D33-H33</f>
        <v>371910.68</v>
      </c>
      <c r="E35" s="370">
        <f t="shared" si="3"/>
        <v>-1265520.3200000003</v>
      </c>
      <c r="F35" s="903"/>
      <c r="G35" s="368"/>
      <c r="H35" s="368"/>
      <c r="I35" s="486"/>
      <c r="J35" s="10"/>
      <c r="K35" s="10"/>
      <c r="L35" s="10"/>
      <c r="M35" s="193"/>
    </row>
    <row r="36" spans="1:13" s="11" customFormat="1" x14ac:dyDescent="0.2">
      <c r="A36" s="164">
        <f t="shared" si="0"/>
        <v>28</v>
      </c>
      <c r="B36" s="180"/>
      <c r="C36" s="296"/>
      <c r="D36" s="296"/>
      <c r="E36" s="485"/>
      <c r="F36" s="628"/>
      <c r="G36" s="296"/>
      <c r="H36" s="296"/>
      <c r="I36" s="485"/>
      <c r="M36" s="531"/>
    </row>
    <row r="37" spans="1:13" s="11" customFormat="1" x14ac:dyDescent="0.2">
      <c r="A37" s="813">
        <f t="shared" si="0"/>
        <v>29</v>
      </c>
      <c r="B37" s="126" t="s">
        <v>53</v>
      </c>
      <c r="C37" s="663"/>
      <c r="D37" s="663"/>
      <c r="E37" s="663"/>
      <c r="F37" s="904" t="s">
        <v>33</v>
      </c>
      <c r="G37" s="370"/>
      <c r="H37" s="370"/>
      <c r="I37" s="458"/>
      <c r="M37" s="531"/>
    </row>
    <row r="38" spans="1:13" s="11" customFormat="1" x14ac:dyDescent="0.2">
      <c r="A38" s="164">
        <f t="shared" si="0"/>
        <v>30</v>
      </c>
      <c r="B38" s="136" t="s">
        <v>726</v>
      </c>
      <c r="C38" s="663"/>
      <c r="D38" s="663"/>
      <c r="E38" s="663"/>
      <c r="F38" s="907" t="s">
        <v>4</v>
      </c>
      <c r="G38" s="192"/>
      <c r="I38" s="488"/>
      <c r="M38" s="531"/>
    </row>
    <row r="39" spans="1:13" s="11" customFormat="1" ht="22.5" customHeight="1" x14ac:dyDescent="0.2">
      <c r="A39" s="338">
        <f t="shared" si="0"/>
        <v>31</v>
      </c>
      <c r="B39" s="14" t="s">
        <v>1078</v>
      </c>
      <c r="C39" s="289">
        <v>1243160</v>
      </c>
      <c r="D39" s="663"/>
      <c r="E39" s="909">
        <f>SUM(C39:D39)</f>
        <v>1243160</v>
      </c>
      <c r="F39" s="959" t="s">
        <v>3</v>
      </c>
      <c r="G39" s="370"/>
      <c r="H39" s="370"/>
      <c r="I39" s="458"/>
      <c r="M39" s="531"/>
    </row>
    <row r="40" spans="1:13" x14ac:dyDescent="0.2">
      <c r="A40" s="164">
        <f t="shared" si="0"/>
        <v>32</v>
      </c>
      <c r="B40" s="118" t="s">
        <v>728</v>
      </c>
      <c r="C40" s="908"/>
      <c r="D40" s="909"/>
      <c r="E40" s="909">
        <f>SUM(C40:D40)</f>
        <v>0</v>
      </c>
      <c r="F40" s="516" t="s">
        <v>5</v>
      </c>
      <c r="G40" s="370"/>
      <c r="H40" s="370"/>
      <c r="I40" s="458"/>
      <c r="J40" s="10"/>
      <c r="K40" s="10"/>
      <c r="L40" s="10"/>
      <c r="M40" s="193"/>
    </row>
    <row r="41" spans="1:13" x14ac:dyDescent="0.2">
      <c r="A41" s="164">
        <f t="shared" si="0"/>
        <v>33</v>
      </c>
      <c r="B41" s="118" t="s">
        <v>223</v>
      </c>
      <c r="C41" s="289"/>
      <c r="D41" s="289"/>
      <c r="E41" s="289"/>
      <c r="F41" s="516" t="s">
        <v>6</v>
      </c>
      <c r="G41" s="192"/>
      <c r="H41" s="192"/>
      <c r="I41" s="458"/>
      <c r="J41" s="10"/>
      <c r="K41" s="10"/>
      <c r="L41" s="10"/>
      <c r="M41" s="193"/>
    </row>
    <row r="42" spans="1:13" x14ac:dyDescent="0.2">
      <c r="A42" s="164">
        <f t="shared" si="0"/>
        <v>34</v>
      </c>
      <c r="B42" s="555" t="s">
        <v>224</v>
      </c>
      <c r="C42" s="289">
        <v>1193985</v>
      </c>
      <c r="D42" s="289">
        <v>160130</v>
      </c>
      <c r="E42" s="289">
        <f>C42+D42</f>
        <v>1354115</v>
      </c>
      <c r="F42" s="516" t="s">
        <v>7</v>
      </c>
      <c r="G42" s="192"/>
      <c r="H42" s="192"/>
      <c r="I42" s="458"/>
      <c r="J42" s="10"/>
      <c r="K42" s="10"/>
      <c r="L42" s="10"/>
      <c r="M42" s="193"/>
    </row>
    <row r="43" spans="1:13" x14ac:dyDescent="0.2">
      <c r="A43" s="164">
        <f t="shared" si="0"/>
        <v>35</v>
      </c>
      <c r="B43" s="555" t="s">
        <v>1014</v>
      </c>
      <c r="C43" s="289"/>
      <c r="D43" s="289"/>
      <c r="E43" s="289"/>
      <c r="F43" s="516"/>
      <c r="G43" s="192"/>
      <c r="H43" s="192"/>
      <c r="I43" s="458"/>
      <c r="J43" s="10"/>
      <c r="K43" s="10"/>
      <c r="L43" s="10"/>
      <c r="M43" s="193"/>
    </row>
    <row r="44" spans="1:13" x14ac:dyDescent="0.2">
      <c r="A44" s="164">
        <f t="shared" si="0"/>
        <v>36</v>
      </c>
      <c r="B44" s="119" t="s">
        <v>729</v>
      </c>
      <c r="C44" s="289"/>
      <c r="D44" s="289"/>
      <c r="E44" s="289"/>
      <c r="F44" s="516" t="s">
        <v>8</v>
      </c>
      <c r="G44" s="370"/>
      <c r="H44" s="370"/>
      <c r="I44" s="485"/>
      <c r="J44" s="10"/>
      <c r="K44" s="10"/>
      <c r="L44" s="10"/>
      <c r="M44" s="193"/>
    </row>
    <row r="45" spans="1:13" x14ac:dyDescent="0.2">
      <c r="A45" s="164">
        <f t="shared" si="0"/>
        <v>37</v>
      </c>
      <c r="B45" s="119" t="s">
        <v>730</v>
      </c>
      <c r="C45" s="663"/>
      <c r="D45" s="663"/>
      <c r="E45" s="663"/>
      <c r="F45" s="516" t="s">
        <v>289</v>
      </c>
      <c r="G45" s="296">
        <f>24026+3667</f>
        <v>27693</v>
      </c>
      <c r="H45" s="296">
        <f>3062+689</f>
        <v>3751</v>
      </c>
      <c r="I45" s="485">
        <f>SUM(G45:H45)</f>
        <v>31444</v>
      </c>
      <c r="J45" s="10"/>
      <c r="K45" s="10"/>
      <c r="L45" s="10"/>
      <c r="M45" s="193"/>
    </row>
    <row r="46" spans="1:13" x14ac:dyDescent="0.2">
      <c r="A46" s="164">
        <f t="shared" si="0"/>
        <v>38</v>
      </c>
      <c r="B46" s="118" t="s">
        <v>731</v>
      </c>
      <c r="C46" s="289"/>
      <c r="D46" s="289"/>
      <c r="E46" s="289"/>
      <c r="F46" s="516" t="s">
        <v>254</v>
      </c>
      <c r="G46" s="296"/>
      <c r="H46" s="296"/>
      <c r="I46" s="485"/>
      <c r="J46" s="10"/>
      <c r="K46" s="10"/>
      <c r="L46" s="10"/>
      <c r="M46" s="193"/>
    </row>
    <row r="47" spans="1:13" x14ac:dyDescent="0.2">
      <c r="A47" s="164">
        <f t="shared" si="0"/>
        <v>39</v>
      </c>
      <c r="B47" s="118" t="s">
        <v>732</v>
      </c>
      <c r="C47" s="289"/>
      <c r="D47" s="289"/>
      <c r="E47" s="289"/>
      <c r="F47" s="901" t="s">
        <v>255</v>
      </c>
      <c r="G47" s="296">
        <f>'pü.mérleg Hivatal'!D48+'püm. GAMESZ. '!C48+'püm-TASZII.'!C48+püm.Brunszvik!C48+'püm Festetics'!C48</f>
        <v>749566</v>
      </c>
      <c r="H47" s="296">
        <f>'pü.mérleg Hivatal'!E48+'püm. GAMESZ. '!D48+'püm-TASZII.'!D48+püm.Brunszvik!D48+'püm Festetics'!D48</f>
        <v>518055</v>
      </c>
      <c r="I47" s="485">
        <f>SUM(G47:H47)</f>
        <v>1267621</v>
      </c>
      <c r="J47" s="10"/>
      <c r="K47" s="10"/>
      <c r="L47" s="10"/>
      <c r="M47" s="193"/>
    </row>
    <row r="48" spans="1:13" x14ac:dyDescent="0.2">
      <c r="A48" s="164">
        <f t="shared" si="0"/>
        <v>40</v>
      </c>
      <c r="B48" s="118" t="s">
        <v>0</v>
      </c>
      <c r="C48" s="289"/>
      <c r="D48" s="289"/>
      <c r="E48" s="289"/>
      <c r="F48" s="901" t="s">
        <v>256</v>
      </c>
      <c r="G48" s="296">
        <f>'pü.mérleg Hivatal'!D49+'püm. GAMESZ. '!C49+'püm-TASZII.'!C49+püm.Brunszvik!C49+'püm Festetics'!C49</f>
        <v>22455</v>
      </c>
      <c r="H48" s="296">
        <f>'pü.mérleg Hivatal'!E49+'püm. GAMESZ. '!D49+püm.Brunszvik!D49+'püm Festetics'!D49+'püm-TASZII.'!D49</f>
        <v>10235</v>
      </c>
      <c r="I48" s="296">
        <f>'pü.mérleg Hivatal'!F49+'püm. GAMESZ. '!E49+'püm-TASZII.'!E49+püm.Brunszvik!E49+'püm Festetics'!E49</f>
        <v>32690</v>
      </c>
      <c r="J48" s="10"/>
      <c r="K48" s="10"/>
      <c r="L48" s="10"/>
      <c r="M48" s="193"/>
    </row>
    <row r="49" spans="1:13" x14ac:dyDescent="0.2">
      <c r="A49" s="164">
        <f t="shared" si="0"/>
        <v>41</v>
      </c>
      <c r="B49" s="118" t="s">
        <v>1</v>
      </c>
      <c r="C49" s="289"/>
      <c r="D49" s="289"/>
      <c r="E49" s="289">
        <f>SUM(C49:D49)</f>
        <v>0</v>
      </c>
      <c r="F49" s="516" t="s">
        <v>13</v>
      </c>
      <c r="G49" s="296"/>
      <c r="H49" s="296"/>
      <c r="I49" s="485"/>
      <c r="J49" s="10"/>
      <c r="K49" s="10"/>
      <c r="L49" s="10"/>
      <c r="M49" s="193"/>
    </row>
    <row r="50" spans="1:13" x14ac:dyDescent="0.2">
      <c r="A50" s="164">
        <f t="shared" si="0"/>
        <v>42</v>
      </c>
      <c r="B50" s="118"/>
      <c r="C50" s="289"/>
      <c r="D50" s="289"/>
      <c r="E50" s="289"/>
      <c r="F50" s="516" t="s">
        <v>14</v>
      </c>
      <c r="G50" s="296"/>
      <c r="H50" s="296"/>
      <c r="I50" s="485"/>
      <c r="J50" s="10"/>
      <c r="K50" s="10"/>
      <c r="L50" s="10"/>
      <c r="M50" s="193"/>
    </row>
    <row r="51" spans="1:13" x14ac:dyDescent="0.2">
      <c r="A51" s="164">
        <f t="shared" si="0"/>
        <v>43</v>
      </c>
      <c r="B51" s="118"/>
      <c r="C51" s="289"/>
      <c r="D51" s="289"/>
      <c r="E51" s="289"/>
      <c r="F51" s="516" t="s">
        <v>15</v>
      </c>
      <c r="G51" s="296"/>
      <c r="H51" s="296"/>
      <c r="I51" s="485"/>
      <c r="J51" s="10"/>
      <c r="K51" s="10"/>
      <c r="L51" s="10"/>
      <c r="M51" s="193"/>
    </row>
    <row r="52" spans="1:13" ht="12" thickBot="1" x14ac:dyDescent="0.25">
      <c r="A52" s="164">
        <f t="shared" si="0"/>
        <v>44</v>
      </c>
      <c r="B52" s="178" t="s">
        <v>474</v>
      </c>
      <c r="C52" s="663">
        <f>SUM(C38:C50)</f>
        <v>2437145</v>
      </c>
      <c r="D52" s="663">
        <f>SUM(D38:D50)</f>
        <v>160130</v>
      </c>
      <c r="E52" s="663">
        <f>SUM(E38:E50)</f>
        <v>2597275</v>
      </c>
      <c r="F52" s="904" t="s">
        <v>467</v>
      </c>
      <c r="G52" s="370">
        <f t="shared" ref="G52:L52" si="4">SUM(G38:G51)</f>
        <v>799714</v>
      </c>
      <c r="H52" s="370">
        <f t="shared" si="4"/>
        <v>532041</v>
      </c>
      <c r="I52" s="458">
        <f t="shared" si="4"/>
        <v>1331755</v>
      </c>
      <c r="J52" s="173">
        <f t="shared" si="4"/>
        <v>0</v>
      </c>
      <c r="K52" s="173">
        <f t="shared" si="4"/>
        <v>0</v>
      </c>
      <c r="L52" s="460">
        <f t="shared" si="4"/>
        <v>0</v>
      </c>
      <c r="M52" s="193"/>
    </row>
    <row r="53" spans="1:13" ht="12" thickBot="1" x14ac:dyDescent="0.25">
      <c r="A53" s="164">
        <f t="shared" si="0"/>
        <v>45</v>
      </c>
      <c r="B53" s="308" t="s">
        <v>469</v>
      </c>
      <c r="C53" s="960">
        <f>C33+C52</f>
        <v>3754902</v>
      </c>
      <c r="D53" s="960">
        <f>D33+D52</f>
        <v>995602</v>
      </c>
      <c r="E53" s="961">
        <f>E33+E52</f>
        <v>4750504</v>
      </c>
      <c r="F53" s="962" t="s">
        <v>468</v>
      </c>
      <c r="G53" s="524">
        <f t="shared" ref="G53:L53" si="5">G33+G52</f>
        <v>3754902</v>
      </c>
      <c r="H53" s="372">
        <f t="shared" si="5"/>
        <v>995602.32000000007</v>
      </c>
      <c r="I53" s="963">
        <f t="shared" si="5"/>
        <v>4750504.32</v>
      </c>
      <c r="J53" s="469">
        <f t="shared" si="5"/>
        <v>0</v>
      </c>
      <c r="K53" s="521">
        <f t="shared" si="5"/>
        <v>0</v>
      </c>
      <c r="L53" s="581">
        <f t="shared" si="5"/>
        <v>0</v>
      </c>
      <c r="M53" s="295"/>
    </row>
    <row r="54" spans="1:13" x14ac:dyDescent="0.2">
      <c r="B54" s="183"/>
      <c r="C54" s="182"/>
      <c r="D54" s="182"/>
      <c r="E54" s="182"/>
      <c r="F54" s="173"/>
      <c r="G54" s="182"/>
      <c r="H54" s="182"/>
      <c r="I54" s="182"/>
      <c r="J54" s="10"/>
      <c r="K54" s="10"/>
      <c r="L54" s="10"/>
    </row>
    <row r="60" spans="1:13" x14ac:dyDescent="0.2">
      <c r="H60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5"/>
  <sheetViews>
    <sheetView zoomScale="120" workbookViewId="0">
      <selection activeCell="L27" sqref="L27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131" t="s">
        <v>1239</v>
      </c>
      <c r="E1" s="1179"/>
      <c r="F1" s="1179"/>
      <c r="G1" s="1179"/>
      <c r="H1" s="1179"/>
      <c r="I1" s="1179"/>
      <c r="J1" s="1179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134" t="s">
        <v>78</v>
      </c>
      <c r="D4" s="1134"/>
      <c r="E4" s="1134"/>
      <c r="F4" s="1134"/>
      <c r="G4" s="1134"/>
      <c r="H4" s="1134"/>
      <c r="I4" s="1134"/>
      <c r="J4" s="1134"/>
    </row>
    <row r="5" spans="2:11" s="122" customFormat="1" x14ac:dyDescent="0.2">
      <c r="B5" s="160"/>
      <c r="C5" s="1234" t="s">
        <v>195</v>
      </c>
      <c r="D5" s="1234"/>
      <c r="E5" s="1234"/>
      <c r="F5" s="1234"/>
      <c r="G5" s="1234"/>
      <c r="H5" s="1234"/>
      <c r="I5" s="1234"/>
      <c r="J5" s="1234"/>
    </row>
    <row r="6" spans="2:11" s="122" customFormat="1" x14ac:dyDescent="0.2">
      <c r="B6" s="160"/>
      <c r="C6" s="1134" t="s">
        <v>1131</v>
      </c>
      <c r="D6" s="1134"/>
      <c r="E6" s="1134"/>
      <c r="F6" s="1134"/>
      <c r="G6" s="1134"/>
      <c r="H6" s="1134"/>
      <c r="I6" s="1134"/>
      <c r="J6" s="1134"/>
    </row>
    <row r="7" spans="2:11" s="122" customFormat="1" ht="12.75" x14ac:dyDescent="0.2">
      <c r="B7" s="1135" t="s">
        <v>321</v>
      </c>
      <c r="C7" s="1181"/>
      <c r="D7" s="1181"/>
      <c r="E7" s="1181"/>
      <c r="F7" s="1181"/>
      <c r="G7" s="1181"/>
      <c r="H7" s="1181"/>
      <c r="I7" s="1181"/>
      <c r="J7" s="1181"/>
    </row>
    <row r="8" spans="2:11" s="122" customFormat="1" ht="12.75" customHeight="1" x14ac:dyDescent="0.2">
      <c r="B8" s="1139" t="s">
        <v>56</v>
      </c>
      <c r="C8" s="1140" t="s">
        <v>57</v>
      </c>
      <c r="D8" s="1155" t="s">
        <v>58</v>
      </c>
      <c r="E8" s="1155"/>
      <c r="F8" s="1156"/>
      <c r="G8" s="1233" t="s">
        <v>59</v>
      </c>
      <c r="H8" s="1137" t="s">
        <v>60</v>
      </c>
      <c r="I8" s="1138"/>
      <c r="J8" s="1138"/>
      <c r="K8" s="629"/>
    </row>
    <row r="9" spans="2:11" s="122" customFormat="1" ht="12.75" customHeight="1" x14ac:dyDescent="0.2">
      <c r="B9" s="1139"/>
      <c r="C9" s="1140"/>
      <c r="D9" s="1132" t="s">
        <v>1125</v>
      </c>
      <c r="E9" s="1132"/>
      <c r="F9" s="1133"/>
      <c r="G9" s="1233"/>
      <c r="H9" s="1132" t="s">
        <v>1125</v>
      </c>
      <c r="I9" s="1132"/>
      <c r="J9" s="1132"/>
      <c r="K9" s="629"/>
    </row>
    <row r="10" spans="2:11" s="123" customFormat="1" ht="36.6" customHeight="1" x14ac:dyDescent="0.2">
      <c r="B10" s="1139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30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62"/>
      <c r="K11" s="193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231</v>
      </c>
      <c r="H12" s="119">
        <v>100027</v>
      </c>
      <c r="I12" s="119">
        <v>66083</v>
      </c>
      <c r="J12" s="455">
        <f>SUM(H12:I12)</f>
        <v>166110</v>
      </c>
      <c r="K12" s="193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56" t="s">
        <v>232</v>
      </c>
      <c r="H13" s="119">
        <v>28067</v>
      </c>
      <c r="I13" s="119">
        <v>15757</v>
      </c>
      <c r="J13" s="455">
        <f>SUM(H13:I13)</f>
        <v>43824</v>
      </c>
      <c r="K13" s="193"/>
    </row>
    <row r="14" spans="2:11" x14ac:dyDescent="0.2">
      <c r="B14" s="164">
        <f t="shared" si="0"/>
        <v>4</v>
      </c>
      <c r="C14" s="167" t="s">
        <v>37</v>
      </c>
      <c r="D14" s="118"/>
      <c r="E14" s="118"/>
      <c r="F14" s="119">
        <f>SUM(D14:E14)</f>
        <v>0</v>
      </c>
      <c r="G14" s="139" t="s">
        <v>233</v>
      </c>
      <c r="H14" s="119">
        <f>5780+431</f>
        <v>6211</v>
      </c>
      <c r="I14" s="119">
        <v>59962</v>
      </c>
      <c r="J14" s="455">
        <f>SUM(H14:I14)</f>
        <v>66173</v>
      </c>
      <c r="K14" s="193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55"/>
      <c r="K15" s="193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350</v>
      </c>
      <c r="I16" s="169">
        <f>'ellátottak hivatal'!F17</f>
        <v>0</v>
      </c>
      <c r="J16" s="455">
        <f>SUM(H16:I16)</f>
        <v>350</v>
      </c>
      <c r="K16" s="193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55"/>
      <c r="K17" s="193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472</v>
      </c>
      <c r="H18" s="169"/>
      <c r="I18" s="169">
        <v>0</v>
      </c>
      <c r="J18" s="455">
        <v>0</v>
      </c>
      <c r="K18" s="193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471</v>
      </c>
      <c r="H19" s="169"/>
      <c r="I19" s="169"/>
      <c r="J19" s="457"/>
      <c r="K19" s="193"/>
    </row>
    <row r="20" spans="2:11" x14ac:dyDescent="0.2">
      <c r="B20" s="164">
        <f t="shared" si="0"/>
        <v>10</v>
      </c>
      <c r="C20" s="116" t="s">
        <v>210</v>
      </c>
      <c r="D20" s="367">
        <f>'mük. bev.Önkor és Hivatal '!C80</f>
        <v>15</v>
      </c>
      <c r="E20" s="367">
        <f>'mük. bev.Önkor és Hivatal '!D80</f>
        <v>402</v>
      </c>
      <c r="F20" s="367">
        <f>SUM(D20:E20)</f>
        <v>417</v>
      </c>
      <c r="G20" s="139" t="s">
        <v>238</v>
      </c>
      <c r="H20" s="169"/>
      <c r="I20" s="169">
        <v>0</v>
      </c>
      <c r="J20" s="457">
        <f>I20+H20</f>
        <v>0</v>
      </c>
      <c r="K20" s="193"/>
    </row>
    <row r="21" spans="2:11" x14ac:dyDescent="0.2">
      <c r="B21" s="164">
        <f t="shared" si="0"/>
        <v>11</v>
      </c>
      <c r="D21" s="168"/>
      <c r="E21" s="168"/>
      <c r="F21" s="168"/>
      <c r="G21" s="139" t="s">
        <v>464</v>
      </c>
      <c r="H21" s="169"/>
      <c r="I21" s="169"/>
      <c r="J21" s="457"/>
      <c r="K21" s="193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465</v>
      </c>
      <c r="H22" s="169"/>
      <c r="I22" s="169"/>
      <c r="J22" s="457"/>
      <c r="K22" s="631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57"/>
      <c r="K23" s="631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134655</v>
      </c>
      <c r="I24" s="125">
        <f>SUM(I12:I22)</f>
        <v>141802</v>
      </c>
      <c r="J24" s="456">
        <f>SUM(J12:J22)</f>
        <v>276457</v>
      </c>
      <c r="K24" s="193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57"/>
      <c r="K25" s="193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57"/>
      <c r="K26" s="193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242</v>
      </c>
      <c r="H27" s="169">
        <f>'felhalm. kiad.  '!G95</f>
        <v>6175</v>
      </c>
      <c r="I27" s="169">
        <f>'felhalm. kiad.  '!H95</f>
        <v>6335</v>
      </c>
      <c r="J27" s="457">
        <f>SUM(H27:I27)</f>
        <v>12510</v>
      </c>
      <c r="K27" s="193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57"/>
      <c r="K28" s="193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57"/>
      <c r="K29" s="193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473</v>
      </c>
      <c r="H30" s="169"/>
      <c r="I30" s="169"/>
      <c r="J30" s="457"/>
      <c r="K30" s="631"/>
    </row>
    <row r="31" spans="2:11" x14ac:dyDescent="0.2">
      <c r="B31" s="164">
        <f t="shared" si="0"/>
        <v>21</v>
      </c>
      <c r="D31" s="119"/>
      <c r="E31" s="119"/>
      <c r="F31" s="119"/>
      <c r="G31" s="139" t="s">
        <v>470</v>
      </c>
      <c r="H31" s="169"/>
      <c r="I31" s="169"/>
      <c r="J31" s="457"/>
      <c r="K31" s="193"/>
    </row>
    <row r="32" spans="2:11" s="11" customFormat="1" x14ac:dyDescent="0.2">
      <c r="B32" s="164">
        <f t="shared" si="0"/>
        <v>22</v>
      </c>
      <c r="C32" s="174" t="s">
        <v>52</v>
      </c>
      <c r="D32" s="367">
        <f>D13+D14+D16+D18+D20+D23+D24+D25+D26+D27+D29+D30</f>
        <v>15</v>
      </c>
      <c r="E32" s="367">
        <f>E13+E14+E16+E18+E20+E23+E24+E25+E26+E27+E29+E30</f>
        <v>402</v>
      </c>
      <c r="F32" s="367">
        <f>F13+F14+F16+F18+F20+F23+F24+F25+F26+F27+F29+F30</f>
        <v>417</v>
      </c>
      <c r="G32" s="139" t="s">
        <v>466</v>
      </c>
      <c r="H32" s="158"/>
      <c r="I32" s="158"/>
      <c r="J32" s="457"/>
      <c r="K32" s="531"/>
    </row>
    <row r="33" spans="2:11" x14ac:dyDescent="0.2">
      <c r="B33" s="164">
        <f t="shared" si="0"/>
        <v>23</v>
      </c>
      <c r="C33" s="175" t="s">
        <v>67</v>
      </c>
      <c r="D33" s="369"/>
      <c r="E33" s="369"/>
      <c r="F33" s="369"/>
      <c r="G33" s="176" t="s">
        <v>68</v>
      </c>
      <c r="H33" s="177">
        <f>SUM(H27:H32)</f>
        <v>6175</v>
      </c>
      <c r="I33" s="177">
        <f>SUM(I27:I32)</f>
        <v>6335</v>
      </c>
      <c r="J33" s="459">
        <f>SUM(J27:J31)</f>
        <v>12510</v>
      </c>
      <c r="K33" s="193"/>
    </row>
    <row r="34" spans="2:11" x14ac:dyDescent="0.2">
      <c r="B34" s="164">
        <f t="shared" si="0"/>
        <v>24</v>
      </c>
      <c r="C34" s="178" t="s">
        <v>51</v>
      </c>
      <c r="D34" s="370">
        <f>SUM(D32:D33)</f>
        <v>15</v>
      </c>
      <c r="E34" s="370">
        <f>SUM(E32:E33)</f>
        <v>402</v>
      </c>
      <c r="F34" s="370">
        <f>SUM(F32:F33)</f>
        <v>417</v>
      </c>
      <c r="G34" s="179" t="s">
        <v>69</v>
      </c>
      <c r="H34" s="173">
        <f>H24+H33</f>
        <v>140830</v>
      </c>
      <c r="I34" s="173">
        <f>I24+I33</f>
        <v>148137</v>
      </c>
      <c r="J34" s="460">
        <f>J24+J33</f>
        <v>288967</v>
      </c>
      <c r="K34" s="193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57"/>
      <c r="K35" s="193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56"/>
      <c r="K36" s="193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57"/>
      <c r="K37" s="531"/>
    </row>
    <row r="38" spans="2:11" s="11" customFormat="1" x14ac:dyDescent="0.2">
      <c r="B38" s="813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60"/>
      <c r="K38" s="531"/>
    </row>
    <row r="39" spans="2:11" s="11" customFormat="1" x14ac:dyDescent="0.2">
      <c r="B39" s="164">
        <f t="shared" si="0"/>
        <v>29</v>
      </c>
      <c r="C39" s="136" t="s">
        <v>726</v>
      </c>
      <c r="D39" s="126"/>
      <c r="E39" s="126"/>
      <c r="F39" s="126"/>
      <c r="G39" s="181" t="s">
        <v>4</v>
      </c>
      <c r="H39" s="182"/>
      <c r="I39" s="183"/>
      <c r="J39" s="461"/>
      <c r="K39" s="531"/>
    </row>
    <row r="40" spans="2:11" s="11" customFormat="1" x14ac:dyDescent="0.2">
      <c r="B40" s="164">
        <f t="shared" si="0"/>
        <v>30</v>
      </c>
      <c r="C40" s="157" t="s">
        <v>1017</v>
      </c>
      <c r="D40" s="126"/>
      <c r="E40" s="126"/>
      <c r="F40" s="126"/>
      <c r="G40" s="557" t="s">
        <v>3</v>
      </c>
      <c r="H40" s="173"/>
      <c r="I40" s="173"/>
      <c r="J40" s="460"/>
      <c r="K40" s="531"/>
    </row>
    <row r="41" spans="2:11" x14ac:dyDescent="0.2">
      <c r="B41" s="164">
        <f t="shared" si="0"/>
        <v>31</v>
      </c>
      <c r="C41" s="118" t="s">
        <v>728</v>
      </c>
      <c r="D41" s="185"/>
      <c r="E41" s="185"/>
      <c r="F41" s="185"/>
      <c r="G41" s="139" t="s">
        <v>5</v>
      </c>
      <c r="H41" s="173"/>
      <c r="I41" s="173"/>
      <c r="J41" s="460"/>
      <c r="K41" s="193"/>
    </row>
    <row r="42" spans="2:11" x14ac:dyDescent="0.2">
      <c r="B42" s="164">
        <f t="shared" si="0"/>
        <v>32</v>
      </c>
      <c r="C42" s="118" t="s">
        <v>223</v>
      </c>
      <c r="D42" s="119"/>
      <c r="E42" s="119"/>
      <c r="F42" s="119"/>
      <c r="G42" s="139" t="s">
        <v>6</v>
      </c>
      <c r="H42" s="182"/>
      <c r="I42" s="182"/>
      <c r="J42" s="460"/>
      <c r="K42" s="193"/>
    </row>
    <row r="43" spans="2:11" x14ac:dyDescent="0.2">
      <c r="B43" s="164">
        <f t="shared" si="0"/>
        <v>33</v>
      </c>
      <c r="C43" s="555" t="s">
        <v>224</v>
      </c>
      <c r="D43" s="119"/>
      <c r="E43" s="119"/>
      <c r="F43" s="119">
        <f>D43+E43</f>
        <v>0</v>
      </c>
      <c r="G43" s="139" t="s">
        <v>7</v>
      </c>
      <c r="H43" s="182"/>
      <c r="I43" s="182"/>
      <c r="J43" s="460"/>
      <c r="K43" s="193"/>
    </row>
    <row r="44" spans="2:11" x14ac:dyDescent="0.2">
      <c r="B44" s="164">
        <f t="shared" si="0"/>
        <v>34</v>
      </c>
      <c r="C44" s="555" t="s">
        <v>1014</v>
      </c>
      <c r="D44" s="119"/>
      <c r="E44" s="119"/>
      <c r="F44" s="119"/>
      <c r="G44" s="139"/>
      <c r="H44" s="182"/>
      <c r="I44" s="182"/>
      <c r="J44" s="460"/>
      <c r="K44" s="193"/>
    </row>
    <row r="45" spans="2:11" x14ac:dyDescent="0.2">
      <c r="B45" s="164">
        <f t="shared" si="0"/>
        <v>35</v>
      </c>
      <c r="C45" s="119" t="s">
        <v>729</v>
      </c>
      <c r="D45" s="119"/>
      <c r="E45" s="119"/>
      <c r="F45" s="119"/>
      <c r="G45" s="139" t="s">
        <v>8</v>
      </c>
      <c r="H45" s="173"/>
      <c r="I45" s="173"/>
      <c r="J45" s="457"/>
      <c r="K45" s="193"/>
    </row>
    <row r="46" spans="2:11" x14ac:dyDescent="0.2">
      <c r="B46" s="164">
        <f t="shared" si="0"/>
        <v>36</v>
      </c>
      <c r="C46" s="119" t="s">
        <v>730</v>
      </c>
      <c r="D46" s="126"/>
      <c r="E46" s="126"/>
      <c r="F46" s="126"/>
      <c r="G46" s="139" t="s">
        <v>9</v>
      </c>
      <c r="H46" s="173"/>
      <c r="I46" s="173"/>
      <c r="J46" s="457"/>
      <c r="K46" s="193"/>
    </row>
    <row r="47" spans="2:11" x14ac:dyDescent="0.2">
      <c r="B47" s="164">
        <f t="shared" si="0"/>
        <v>37</v>
      </c>
      <c r="C47" s="118" t="s">
        <v>227</v>
      </c>
      <c r="D47" s="119"/>
      <c r="E47" s="119"/>
      <c r="F47" s="119"/>
      <c r="G47" s="139" t="s">
        <v>10</v>
      </c>
      <c r="H47" s="169"/>
      <c r="I47" s="169"/>
      <c r="J47" s="457"/>
      <c r="K47" s="193"/>
    </row>
    <row r="48" spans="2:11" x14ac:dyDescent="0.2">
      <c r="B48" s="164">
        <f t="shared" si="0"/>
        <v>38</v>
      </c>
      <c r="C48" s="555" t="s">
        <v>228</v>
      </c>
      <c r="D48" s="289">
        <f>H24-(D34+D43)</f>
        <v>134640</v>
      </c>
      <c r="E48" s="289">
        <f>I24-(E34+E43)</f>
        <v>141400</v>
      </c>
      <c r="F48" s="289">
        <f>J24-(F34+F43)</f>
        <v>276040</v>
      </c>
      <c r="G48" s="139" t="s">
        <v>11</v>
      </c>
      <c r="H48" s="169"/>
      <c r="I48" s="169"/>
      <c r="J48" s="457"/>
      <c r="K48" s="193"/>
    </row>
    <row r="49" spans="2:11" x14ac:dyDescent="0.2">
      <c r="B49" s="164">
        <f t="shared" si="0"/>
        <v>39</v>
      </c>
      <c r="C49" s="555" t="s">
        <v>229</v>
      </c>
      <c r="D49" s="119">
        <f>H33-D33</f>
        <v>6175</v>
      </c>
      <c r="E49" s="119">
        <f>I33-E33</f>
        <v>6335</v>
      </c>
      <c r="F49" s="119">
        <f>J33-F33</f>
        <v>12510</v>
      </c>
      <c r="G49" s="139" t="s">
        <v>12</v>
      </c>
      <c r="H49" s="169"/>
      <c r="I49" s="169"/>
      <c r="J49" s="457"/>
      <c r="K49" s="193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57"/>
      <c r="K50" s="193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57"/>
      <c r="K51" s="193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57"/>
      <c r="K52" s="193"/>
    </row>
    <row r="53" spans="2:11" ht="12" thickBot="1" x14ac:dyDescent="0.25">
      <c r="B53" s="164">
        <f t="shared" si="0"/>
        <v>43</v>
      </c>
      <c r="C53" s="343" t="s">
        <v>474</v>
      </c>
      <c r="D53" s="340">
        <f>SUM(D39:D51)</f>
        <v>140815</v>
      </c>
      <c r="E53" s="340">
        <f>SUM(E39:E51)</f>
        <v>147735</v>
      </c>
      <c r="F53" s="340">
        <f>SUM(F39:F51)</f>
        <v>288550</v>
      </c>
      <c r="G53" s="140" t="s">
        <v>467</v>
      </c>
      <c r="H53" s="173">
        <f>SUM(H39:H52)</f>
        <v>0</v>
      </c>
      <c r="I53" s="173">
        <f>SUM(I39:I52)</f>
        <v>0</v>
      </c>
      <c r="J53" s="460">
        <f>SUM(J39:J52)</f>
        <v>0</v>
      </c>
      <c r="K53" s="193"/>
    </row>
    <row r="54" spans="2:11" ht="12" thickBot="1" x14ac:dyDescent="0.25">
      <c r="B54" s="164">
        <f t="shared" si="0"/>
        <v>44</v>
      </c>
      <c r="C54" s="342" t="s">
        <v>469</v>
      </c>
      <c r="D54" s="336">
        <f>D34+D53</f>
        <v>140830</v>
      </c>
      <c r="E54" s="336">
        <f>E34+E53</f>
        <v>148137</v>
      </c>
      <c r="F54" s="982">
        <f>F34+F53</f>
        <v>288967</v>
      </c>
      <c r="G54" s="523" t="s">
        <v>468</v>
      </c>
      <c r="H54" s="188">
        <f>H34+H53</f>
        <v>140830</v>
      </c>
      <c r="I54" s="521">
        <f>I34+I53</f>
        <v>148137</v>
      </c>
      <c r="J54" s="469">
        <f>J34+J53</f>
        <v>288967</v>
      </c>
      <c r="K54" s="193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5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301" hidden="1" customWidth="1"/>
    <col min="13" max="13" width="8.5703125" style="301" hidden="1" customWidth="1"/>
    <col min="14" max="14" width="7.5703125" style="301" hidden="1" customWidth="1"/>
    <col min="15" max="15" width="8.28515625" style="301" hidden="1" customWidth="1"/>
    <col min="16" max="16" width="5.7109375" style="301" hidden="1" customWidth="1"/>
    <col min="17" max="17" width="8" style="301" hidden="1" customWidth="1"/>
    <col min="18" max="18" width="6.140625" style="301" hidden="1" customWidth="1"/>
    <col min="19" max="19" width="4.42578125" style="588" customWidth="1"/>
    <col min="20" max="16384" width="9.140625" style="80"/>
  </cols>
  <sheetData>
    <row r="1" spans="1:19" ht="17.25" customHeight="1" x14ac:dyDescent="0.2">
      <c r="B1" s="1258" t="s">
        <v>311</v>
      </c>
      <c r="C1" s="1258"/>
      <c r="D1" s="1258"/>
      <c r="E1" s="1258"/>
      <c r="F1" s="1258"/>
      <c r="G1" s="1258"/>
      <c r="H1" s="1258"/>
      <c r="I1" s="1258"/>
      <c r="J1" s="1258"/>
      <c r="K1" s="1266"/>
      <c r="L1" s="1179"/>
      <c r="M1" s="1179"/>
      <c r="N1" s="1179"/>
      <c r="O1" s="1179"/>
      <c r="P1" s="1179"/>
      <c r="Q1" s="1179"/>
      <c r="R1" s="1179"/>
    </row>
    <row r="2" spans="1:19" ht="13.5" customHeight="1" x14ac:dyDescent="0.2">
      <c r="A2" s="1268" t="s">
        <v>87</v>
      </c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80"/>
      <c r="M2" s="80"/>
      <c r="N2" s="80"/>
      <c r="O2" s="80"/>
      <c r="P2" s="80"/>
      <c r="Q2" s="80"/>
      <c r="R2" s="80"/>
      <c r="S2" s="576"/>
    </row>
    <row r="3" spans="1:19" s="82" customFormat="1" ht="12" customHeight="1" x14ac:dyDescent="0.2">
      <c r="A3" s="1134" t="s">
        <v>309</v>
      </c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179"/>
      <c r="M3" s="1179"/>
      <c r="N3" s="1179"/>
      <c r="O3" s="1179"/>
      <c r="P3" s="1179"/>
      <c r="Q3" s="1179"/>
      <c r="R3" s="1179"/>
      <c r="S3" s="589"/>
    </row>
    <row r="4" spans="1:19" s="82" customFormat="1" ht="23.25" customHeight="1" thickBot="1" x14ac:dyDescent="0.25">
      <c r="A4" s="216"/>
      <c r="B4" s="217"/>
      <c r="C4" s="218"/>
      <c r="D4" s="218"/>
      <c r="E4" s="218"/>
      <c r="F4" s="218"/>
      <c r="G4" s="1269" t="s">
        <v>321</v>
      </c>
      <c r="H4" s="1269"/>
      <c r="I4" s="1269"/>
      <c r="J4" s="1269"/>
      <c r="K4" s="1269"/>
      <c r="L4" s="350"/>
      <c r="M4" s="350"/>
      <c r="N4" s="350"/>
      <c r="O4" s="350"/>
      <c r="P4" s="350"/>
      <c r="Q4" s="350"/>
      <c r="R4" s="350"/>
      <c r="S4" s="589"/>
    </row>
    <row r="5" spans="1:19" s="117" customFormat="1" ht="17.25" customHeight="1" thickBot="1" x14ac:dyDescent="0.25">
      <c r="A5" s="1273" t="s">
        <v>498</v>
      </c>
      <c r="B5" s="1271" t="s">
        <v>563</v>
      </c>
      <c r="C5" s="1253" t="s">
        <v>57</v>
      </c>
      <c r="D5" s="1253"/>
      <c r="E5" s="1253" t="s">
        <v>58</v>
      </c>
      <c r="F5" s="1253"/>
      <c r="G5" s="1253" t="s">
        <v>59</v>
      </c>
      <c r="H5" s="1253"/>
      <c r="I5" s="1274" t="s">
        <v>60</v>
      </c>
      <c r="J5" s="1257"/>
      <c r="K5" s="219" t="s">
        <v>499</v>
      </c>
      <c r="L5" s="300"/>
      <c r="S5" s="576"/>
    </row>
    <row r="6" spans="1:19" s="117" customFormat="1" ht="17.25" customHeight="1" thickBot="1" x14ac:dyDescent="0.25">
      <c r="A6" s="1273"/>
      <c r="B6" s="1271"/>
      <c r="C6" s="1133" t="s">
        <v>308</v>
      </c>
      <c r="D6" s="1262"/>
      <c r="E6" s="1262"/>
      <c r="F6" s="1262"/>
      <c r="G6" s="1262"/>
      <c r="H6" s="1262"/>
      <c r="I6" s="1262"/>
      <c r="J6" s="1262"/>
      <c r="K6" s="1272"/>
      <c r="L6" s="300"/>
      <c r="S6" s="576"/>
    </row>
    <row r="7" spans="1:19" ht="40.15" customHeight="1" thickBot="1" x14ac:dyDescent="0.25">
      <c r="A7" s="1273"/>
      <c r="B7" s="1271"/>
      <c r="C7" s="1241" t="s">
        <v>478</v>
      </c>
      <c r="D7" s="1241"/>
      <c r="E7" s="1241" t="s">
        <v>479</v>
      </c>
      <c r="F7" s="1241"/>
      <c r="G7" s="1241" t="s">
        <v>22</v>
      </c>
      <c r="H7" s="1241"/>
      <c r="I7" s="1242" t="s">
        <v>270</v>
      </c>
      <c r="J7" s="1243"/>
      <c r="K7" s="1270" t="s">
        <v>564</v>
      </c>
      <c r="M7" s="80"/>
      <c r="N7" s="80"/>
      <c r="O7" s="80"/>
      <c r="P7" s="80"/>
      <c r="Q7" s="80"/>
      <c r="R7" s="80"/>
      <c r="S7" s="576"/>
    </row>
    <row r="8" spans="1:19" ht="50.25" customHeight="1" thickBot="1" x14ac:dyDescent="0.25">
      <c r="A8" s="1273"/>
      <c r="B8" s="1271"/>
      <c r="C8" s="1241"/>
      <c r="D8" s="1241"/>
      <c r="E8" s="1241"/>
      <c r="F8" s="1241"/>
      <c r="G8" s="1241"/>
      <c r="H8" s="1241"/>
      <c r="I8" s="1244"/>
      <c r="J8" s="1245"/>
      <c r="K8" s="1270"/>
      <c r="M8" s="80"/>
      <c r="N8" s="80"/>
      <c r="O8" s="80"/>
      <c r="P8" s="80"/>
      <c r="Q8" s="80"/>
      <c r="R8" s="80"/>
      <c r="S8" s="576"/>
    </row>
    <row r="9" spans="1:19" ht="33" customHeight="1" thickBot="1" x14ac:dyDescent="0.25">
      <c r="A9" s="1273"/>
      <c r="B9" s="1271"/>
      <c r="C9" s="220" t="s">
        <v>62</v>
      </c>
      <c r="D9" s="221" t="s">
        <v>63</v>
      </c>
      <c r="E9" s="220" t="s">
        <v>62</v>
      </c>
      <c r="F9" s="220" t="s">
        <v>63</v>
      </c>
      <c r="G9" s="220" t="s">
        <v>62</v>
      </c>
      <c r="H9" s="220" t="s">
        <v>63</v>
      </c>
      <c r="I9" s="220" t="s">
        <v>62</v>
      </c>
      <c r="J9" s="220" t="s">
        <v>63</v>
      </c>
      <c r="K9" s="1270"/>
      <c r="M9" s="80"/>
      <c r="N9" s="80"/>
      <c r="O9" s="80"/>
      <c r="P9" s="80"/>
      <c r="Q9" s="80"/>
      <c r="R9" s="80"/>
      <c r="S9" s="576"/>
    </row>
    <row r="10" spans="1:19" ht="17.25" customHeight="1" x14ac:dyDescent="0.2">
      <c r="A10" s="222" t="s">
        <v>508</v>
      </c>
      <c r="B10" s="223" t="s">
        <v>260</v>
      </c>
      <c r="C10" s="224">
        <v>1600</v>
      </c>
      <c r="E10" s="225"/>
      <c r="F10" s="226"/>
      <c r="G10" s="225"/>
      <c r="H10" s="539"/>
      <c r="I10" s="226"/>
      <c r="J10" s="226"/>
      <c r="K10" s="227">
        <f t="shared" ref="K10:K39" si="0">SUM(C10:J10)</f>
        <v>1600</v>
      </c>
      <c r="M10" s="80"/>
      <c r="N10" s="80"/>
      <c r="O10" s="80"/>
      <c r="P10" s="80"/>
      <c r="Q10" s="80"/>
      <c r="R10" s="80"/>
      <c r="S10" s="576"/>
    </row>
    <row r="11" spans="1:19" s="81" customFormat="1" ht="17.25" customHeight="1" x14ac:dyDescent="0.2">
      <c r="A11" s="222" t="s">
        <v>516</v>
      </c>
      <c r="B11" s="535" t="s">
        <v>261</v>
      </c>
      <c r="C11" s="536">
        <v>33533</v>
      </c>
      <c r="D11" s="537"/>
      <c r="E11" s="604">
        <f>'közhatalmi bevételek'!D26</f>
        <v>9000</v>
      </c>
      <c r="F11" s="228"/>
      <c r="G11" s="229"/>
      <c r="H11" s="540"/>
      <c r="I11" s="228"/>
      <c r="J11" s="228"/>
      <c r="K11" s="227">
        <f t="shared" si="0"/>
        <v>42533</v>
      </c>
      <c r="L11" s="289"/>
      <c r="S11" s="590"/>
    </row>
    <row r="12" spans="1:19" ht="17.25" customHeight="1" x14ac:dyDescent="0.2">
      <c r="A12" s="222" t="s">
        <v>517</v>
      </c>
      <c r="B12" s="167" t="s">
        <v>262</v>
      </c>
      <c r="C12" s="139"/>
      <c r="D12" s="119">
        <v>53</v>
      </c>
      <c r="E12" s="120"/>
      <c r="F12" s="119"/>
      <c r="G12" s="120"/>
      <c r="H12" s="463"/>
      <c r="I12" s="119"/>
      <c r="J12" s="119"/>
      <c r="K12" s="227">
        <f t="shared" si="0"/>
        <v>53</v>
      </c>
      <c r="M12" s="80"/>
      <c r="N12" s="80"/>
      <c r="O12" s="80"/>
      <c r="P12" s="80"/>
      <c r="Q12" s="80"/>
      <c r="R12" s="80"/>
      <c r="S12" s="576"/>
    </row>
    <row r="13" spans="1:19" ht="17.25" customHeight="1" x14ac:dyDescent="0.2">
      <c r="A13" s="222" t="s">
        <v>518</v>
      </c>
      <c r="B13" s="167" t="s">
        <v>263</v>
      </c>
      <c r="C13" s="139"/>
      <c r="D13" s="119">
        <v>391</v>
      </c>
      <c r="E13" s="120"/>
      <c r="F13" s="119"/>
      <c r="G13" s="120"/>
      <c r="H13" s="541"/>
      <c r="I13" s="230"/>
      <c r="J13" s="230"/>
      <c r="K13" s="227">
        <f t="shared" si="0"/>
        <v>391</v>
      </c>
      <c r="M13" s="80"/>
      <c r="N13" s="80"/>
      <c r="O13" s="80"/>
      <c r="P13" s="80"/>
      <c r="Q13" s="80"/>
      <c r="R13" s="80"/>
      <c r="S13" s="576"/>
    </row>
    <row r="14" spans="1:19" ht="17.25" customHeight="1" x14ac:dyDescent="0.2">
      <c r="A14" s="222" t="s">
        <v>519</v>
      </c>
      <c r="B14" s="167" t="s">
        <v>264</v>
      </c>
      <c r="C14" s="139"/>
      <c r="D14" s="119"/>
      <c r="E14" s="120"/>
      <c r="F14" s="119"/>
      <c r="G14" s="120"/>
      <c r="H14" s="541"/>
      <c r="I14" s="230"/>
      <c r="J14" s="230"/>
      <c r="K14" s="227">
        <f t="shared" si="0"/>
        <v>0</v>
      </c>
      <c r="M14" s="80"/>
      <c r="N14" s="80"/>
      <c r="O14" s="80"/>
      <c r="P14" s="80"/>
      <c r="Q14" s="80"/>
      <c r="R14" s="80"/>
      <c r="S14" s="576"/>
    </row>
    <row r="15" spans="1:19" ht="17.25" customHeight="1" x14ac:dyDescent="0.2">
      <c r="A15" s="222" t="s">
        <v>520</v>
      </c>
      <c r="B15" s="167" t="s">
        <v>265</v>
      </c>
      <c r="C15" s="139"/>
      <c r="D15" s="119">
        <v>20031</v>
      </c>
      <c r="E15" s="120"/>
      <c r="F15" s="119"/>
      <c r="G15" s="120"/>
      <c r="H15" s="541"/>
      <c r="I15" s="230"/>
      <c r="J15" s="230"/>
      <c r="K15" s="227">
        <f t="shared" si="0"/>
        <v>20031</v>
      </c>
      <c r="M15" s="80"/>
      <c r="N15" s="80"/>
      <c r="O15" s="80"/>
      <c r="P15" s="80"/>
      <c r="Q15" s="80"/>
      <c r="R15" s="80"/>
      <c r="S15" s="576"/>
    </row>
    <row r="16" spans="1:19" ht="17.25" customHeight="1" x14ac:dyDescent="0.2">
      <c r="A16" s="222" t="s">
        <v>521</v>
      </c>
      <c r="B16" s="167" t="s">
        <v>266</v>
      </c>
      <c r="C16" s="139">
        <v>3600</v>
      </c>
      <c r="D16" s="119">
        <v>8084</v>
      </c>
      <c r="E16" s="120"/>
      <c r="F16" s="119"/>
      <c r="G16" s="120"/>
      <c r="H16" s="541"/>
      <c r="I16" s="230"/>
      <c r="J16" s="230"/>
      <c r="K16" s="227">
        <f t="shared" si="0"/>
        <v>11684</v>
      </c>
      <c r="M16" s="80"/>
      <c r="N16" s="80"/>
      <c r="O16" s="80"/>
      <c r="P16" s="80"/>
      <c r="Q16" s="80"/>
      <c r="R16" s="80"/>
      <c r="S16" s="576"/>
    </row>
    <row r="17" spans="1:19" ht="17.25" customHeight="1" x14ac:dyDescent="0.2">
      <c r="A17" s="222" t="s">
        <v>522</v>
      </c>
      <c r="B17" s="167" t="s">
        <v>267</v>
      </c>
      <c r="C17" s="139"/>
      <c r="D17" s="119">
        <v>10160</v>
      </c>
      <c r="E17" s="120"/>
      <c r="F17" s="119"/>
      <c r="G17" s="120"/>
      <c r="H17" s="541"/>
      <c r="I17" s="230"/>
      <c r="J17" s="230"/>
      <c r="K17" s="227">
        <f t="shared" si="0"/>
        <v>10160</v>
      </c>
      <c r="M17" s="80"/>
      <c r="N17" s="80"/>
      <c r="O17" s="80"/>
      <c r="P17" s="80"/>
      <c r="Q17" s="80"/>
      <c r="R17" s="80"/>
      <c r="S17" s="576"/>
    </row>
    <row r="18" spans="1:19" ht="17.25" customHeight="1" x14ac:dyDescent="0.2">
      <c r="A18" s="222" t="s">
        <v>523</v>
      </c>
      <c r="B18" s="167" t="s">
        <v>268</v>
      </c>
      <c r="C18" s="139">
        <v>183</v>
      </c>
      <c r="D18" s="119"/>
      <c r="E18" s="120"/>
      <c r="F18" s="119"/>
      <c r="G18" s="120"/>
      <c r="H18" s="541"/>
      <c r="I18" s="230"/>
      <c r="J18" s="230"/>
      <c r="K18" s="227">
        <f t="shared" si="0"/>
        <v>183</v>
      </c>
      <c r="M18" s="80"/>
      <c r="N18" s="80"/>
      <c r="O18" s="80"/>
      <c r="P18" s="80"/>
      <c r="Q18" s="80"/>
      <c r="R18" s="80"/>
      <c r="S18" s="576"/>
    </row>
    <row r="19" spans="1:19" ht="17.25" customHeight="1" x14ac:dyDescent="0.2">
      <c r="A19" s="222" t="s">
        <v>565</v>
      </c>
      <c r="B19" s="170" t="s">
        <v>269</v>
      </c>
      <c r="C19" s="139">
        <v>1288</v>
      </c>
      <c r="D19" s="119">
        <v>2062</v>
      </c>
      <c r="E19" s="120"/>
      <c r="F19" s="119"/>
      <c r="G19" s="120">
        <f>'tám, végl. pe.átv  '!C36</f>
        <v>0</v>
      </c>
      <c r="H19" s="463"/>
      <c r="J19" s="118">
        <v>0</v>
      </c>
      <c r="K19" s="227">
        <f>SUM(C19:J19)</f>
        <v>3350</v>
      </c>
      <c r="M19" s="80"/>
      <c r="N19" s="80"/>
      <c r="O19" s="80"/>
      <c r="P19" s="80"/>
      <c r="Q19" s="80"/>
      <c r="R19" s="80"/>
      <c r="S19" s="576"/>
    </row>
    <row r="20" spans="1:19" ht="17.25" customHeight="1" x14ac:dyDescent="0.2">
      <c r="A20" s="222" t="s">
        <v>566</v>
      </c>
      <c r="B20" s="167" t="s">
        <v>292</v>
      </c>
      <c r="C20" s="139">
        <v>25</v>
      </c>
      <c r="D20" s="119"/>
      <c r="E20" s="120"/>
      <c r="F20" s="119"/>
      <c r="G20" s="514">
        <v>447</v>
      </c>
      <c r="H20" s="542"/>
      <c r="I20" s="302"/>
      <c r="J20" s="302"/>
      <c r="K20" s="227">
        <f t="shared" si="0"/>
        <v>472</v>
      </c>
      <c r="M20" s="80"/>
      <c r="N20" s="80"/>
      <c r="O20" s="80"/>
      <c r="P20" s="80"/>
      <c r="Q20" s="80"/>
      <c r="R20" s="80"/>
      <c r="S20" s="576"/>
    </row>
    <row r="21" spans="1:19" s="82" customFormat="1" ht="17.25" customHeight="1" x14ac:dyDescent="0.2">
      <c r="A21" s="222" t="s">
        <v>567</v>
      </c>
      <c r="B21" s="167" t="s">
        <v>293</v>
      </c>
      <c r="C21" s="139"/>
      <c r="D21" s="119"/>
      <c r="E21" s="120"/>
      <c r="F21" s="119"/>
      <c r="G21" s="514">
        <f>'tám, végl. pe.átv  '!C11</f>
        <v>722724</v>
      </c>
      <c r="H21" s="484">
        <f>'tám, végl. pe.átv  '!D11</f>
        <v>93769</v>
      </c>
      <c r="I21" s="289"/>
      <c r="J21" s="289"/>
      <c r="K21" s="227">
        <f t="shared" si="0"/>
        <v>816493</v>
      </c>
      <c r="L21" s="302"/>
      <c r="S21" s="591"/>
    </row>
    <row r="22" spans="1:19" ht="17.25" customHeight="1" x14ac:dyDescent="0.2">
      <c r="A22" s="222" t="s">
        <v>568</v>
      </c>
      <c r="B22" s="167" t="s">
        <v>294</v>
      </c>
      <c r="C22" s="139"/>
      <c r="D22" s="119"/>
      <c r="E22" s="120"/>
      <c r="F22" s="119"/>
      <c r="G22" s="514">
        <f>'tám, végl. pe.átv  '!C19</f>
        <v>0</v>
      </c>
      <c r="H22" s="542"/>
      <c r="I22" s="302"/>
      <c r="J22" s="302"/>
      <c r="K22" s="227">
        <f t="shared" si="0"/>
        <v>0</v>
      </c>
      <c r="M22" s="80"/>
      <c r="N22" s="80"/>
      <c r="O22" s="80"/>
      <c r="P22" s="80"/>
      <c r="Q22" s="80"/>
      <c r="R22" s="80"/>
      <c r="S22" s="576"/>
    </row>
    <row r="23" spans="1:19" ht="17.25" customHeight="1" x14ac:dyDescent="0.2">
      <c r="A23" s="222" t="s">
        <v>569</v>
      </c>
      <c r="B23" s="167" t="s">
        <v>306</v>
      </c>
      <c r="C23" s="139"/>
      <c r="D23" s="119"/>
      <c r="E23" s="120"/>
      <c r="F23" s="119"/>
      <c r="G23" s="514"/>
      <c r="H23" s="484">
        <f>'tám, végl. pe.átv  '!D20</f>
        <v>0</v>
      </c>
      <c r="I23" s="302"/>
      <c r="J23" s="302"/>
      <c r="K23" s="227">
        <f t="shared" si="0"/>
        <v>0</v>
      </c>
      <c r="M23" s="80"/>
      <c r="N23" s="80"/>
      <c r="O23" s="80"/>
      <c r="P23" s="80"/>
      <c r="Q23" s="80"/>
      <c r="R23" s="80"/>
      <c r="S23" s="576"/>
    </row>
    <row r="24" spans="1:19" ht="17.25" customHeight="1" x14ac:dyDescent="0.2">
      <c r="A24" s="222" t="s">
        <v>570</v>
      </c>
      <c r="B24" s="167" t="s">
        <v>307</v>
      </c>
      <c r="C24" s="139"/>
      <c r="D24" s="119"/>
      <c r="E24" s="120"/>
      <c r="F24" s="119"/>
      <c r="G24" s="514">
        <v>1300</v>
      </c>
      <c r="H24" s="542"/>
      <c r="I24" s="302"/>
      <c r="J24" s="302"/>
      <c r="K24" s="227">
        <f t="shared" si="0"/>
        <v>1300</v>
      </c>
      <c r="M24" s="80"/>
      <c r="N24" s="80"/>
      <c r="O24" s="80"/>
      <c r="P24" s="80"/>
      <c r="Q24" s="80"/>
      <c r="R24" s="80"/>
      <c r="S24" s="576"/>
    </row>
    <row r="25" spans="1:19" ht="17.25" customHeight="1" x14ac:dyDescent="0.2">
      <c r="A25" s="222" t="s">
        <v>571</v>
      </c>
      <c r="B25" s="167" t="s">
        <v>295</v>
      </c>
      <c r="C25" s="139"/>
      <c r="D25" s="119"/>
      <c r="E25" s="120"/>
      <c r="F25" s="119"/>
      <c r="G25" s="514">
        <v>14203</v>
      </c>
      <c r="H25" s="484"/>
      <c r="I25" s="289"/>
      <c r="J25" s="289"/>
      <c r="K25" s="227">
        <f t="shared" si="0"/>
        <v>14203</v>
      </c>
      <c r="M25" s="80"/>
      <c r="N25" s="80"/>
      <c r="O25" s="80"/>
      <c r="P25" s="80"/>
      <c r="Q25" s="80"/>
      <c r="R25" s="80"/>
      <c r="S25" s="576"/>
    </row>
    <row r="26" spans="1:19" ht="17.25" customHeight="1" x14ac:dyDescent="0.2">
      <c r="A26" s="222" t="s">
        <v>572</v>
      </c>
      <c r="B26" s="167" t="s">
        <v>271</v>
      </c>
      <c r="C26" s="139"/>
      <c r="E26" s="120">
        <f>'közhatalmi bevételek'!D13</f>
        <v>511687</v>
      </c>
      <c r="F26" s="119">
        <f>'közhatalmi bevételek'!E13</f>
        <v>692313</v>
      </c>
      <c r="G26" s="120"/>
      <c r="H26" s="541"/>
      <c r="I26" s="230"/>
      <c r="J26" s="230"/>
      <c r="K26" s="227">
        <f t="shared" si="0"/>
        <v>1204000</v>
      </c>
      <c r="M26" s="80"/>
      <c r="N26" s="80"/>
      <c r="O26" s="80"/>
      <c r="P26" s="80"/>
      <c r="Q26" s="80"/>
      <c r="R26" s="80"/>
      <c r="S26" s="576"/>
    </row>
    <row r="27" spans="1:19" ht="17.25" customHeight="1" x14ac:dyDescent="0.2">
      <c r="A27" s="222" t="s">
        <v>574</v>
      </c>
      <c r="B27" s="170" t="s">
        <v>573</v>
      </c>
      <c r="C27" s="139"/>
      <c r="E27" s="120"/>
      <c r="F27" s="119"/>
      <c r="G27" s="120"/>
      <c r="H27" s="541"/>
      <c r="I27" s="230"/>
      <c r="J27" s="230"/>
      <c r="K27" s="227">
        <f t="shared" si="0"/>
        <v>0</v>
      </c>
      <c r="M27" s="80"/>
      <c r="N27" s="80"/>
      <c r="O27" s="80"/>
      <c r="P27" s="80"/>
      <c r="Q27" s="80"/>
      <c r="R27" s="80"/>
      <c r="S27" s="576"/>
    </row>
    <row r="28" spans="1:19" ht="17.25" customHeight="1" x14ac:dyDescent="0.2">
      <c r="A28" s="222" t="s">
        <v>575</v>
      </c>
      <c r="B28" s="167" t="s">
        <v>296</v>
      </c>
      <c r="C28" s="139"/>
      <c r="E28" s="120">
        <f>'közhatalmi bevételek'!D20</f>
        <v>17000</v>
      </c>
      <c r="F28" s="119"/>
      <c r="G28" s="120"/>
      <c r="H28" s="541"/>
      <c r="I28" s="230"/>
      <c r="J28" s="230"/>
      <c r="K28" s="227">
        <f t="shared" si="0"/>
        <v>17000</v>
      </c>
      <c r="M28" s="80"/>
      <c r="N28" s="80"/>
      <c r="O28" s="80"/>
      <c r="P28" s="80"/>
      <c r="Q28" s="80"/>
      <c r="R28" s="80"/>
      <c r="S28" s="576"/>
    </row>
    <row r="29" spans="1:19" s="82" customFormat="1" ht="17.25" customHeight="1" x14ac:dyDescent="0.2">
      <c r="A29" s="222" t="s">
        <v>576</v>
      </c>
      <c r="B29" s="167" t="s">
        <v>272</v>
      </c>
      <c r="C29" s="139"/>
      <c r="D29" s="121"/>
      <c r="E29" s="514">
        <f>'közhatalmi bevételek'!D15</f>
        <v>4500</v>
      </c>
      <c r="F29" s="119">
        <f>'közhatalmi bevételek'!E15</f>
        <v>0</v>
      </c>
      <c r="G29" s="139"/>
      <c r="H29" s="541"/>
      <c r="I29" s="230"/>
      <c r="J29" s="230"/>
      <c r="K29" s="227">
        <f t="shared" si="0"/>
        <v>4500</v>
      </c>
      <c r="L29" s="302"/>
      <c r="S29" s="591"/>
    </row>
    <row r="30" spans="1:19" ht="17.25" customHeight="1" x14ac:dyDescent="0.2">
      <c r="A30" s="222" t="s">
        <v>577</v>
      </c>
      <c r="B30" s="167" t="s">
        <v>273</v>
      </c>
      <c r="C30" s="139"/>
      <c r="D30" s="119"/>
      <c r="E30" s="514">
        <f>'közhatalmi bevételek'!D25</f>
        <v>820</v>
      </c>
      <c r="F30" s="119"/>
      <c r="G30" s="120"/>
      <c r="H30" s="541"/>
      <c r="I30" s="230"/>
      <c r="J30" s="230"/>
      <c r="K30" s="227">
        <f t="shared" si="0"/>
        <v>820</v>
      </c>
      <c r="M30" s="80"/>
      <c r="N30" s="80"/>
      <c r="O30" s="80"/>
      <c r="P30" s="80"/>
      <c r="Q30" s="80"/>
      <c r="R30" s="80"/>
      <c r="S30" s="576"/>
    </row>
    <row r="31" spans="1:19" ht="17.25" customHeight="1" x14ac:dyDescent="0.2">
      <c r="A31" s="222" t="s">
        <v>578</v>
      </c>
      <c r="B31" s="167" t="s">
        <v>274</v>
      </c>
      <c r="C31" s="139"/>
      <c r="D31" s="119"/>
      <c r="E31" s="120"/>
      <c r="F31" s="119"/>
      <c r="G31" s="120"/>
      <c r="H31" s="541"/>
      <c r="I31" s="230"/>
      <c r="J31" s="230"/>
      <c r="K31" s="227">
        <f t="shared" si="0"/>
        <v>0</v>
      </c>
      <c r="M31" s="80"/>
      <c r="N31" s="80"/>
      <c r="O31" s="80"/>
      <c r="P31" s="80"/>
      <c r="Q31" s="80"/>
      <c r="R31" s="80"/>
      <c r="S31" s="576"/>
    </row>
    <row r="32" spans="1:19" ht="17.25" customHeight="1" x14ac:dyDescent="0.2">
      <c r="A32" s="222" t="s">
        <v>580</v>
      </c>
      <c r="B32" s="167" t="s">
        <v>275</v>
      </c>
      <c r="C32" s="139">
        <v>140</v>
      </c>
      <c r="D32" s="119">
        <v>46</v>
      </c>
      <c r="E32" s="120"/>
      <c r="F32" s="119"/>
      <c r="G32" s="120"/>
      <c r="H32" s="541"/>
      <c r="I32" s="230"/>
      <c r="J32" s="230"/>
      <c r="K32" s="227">
        <f t="shared" si="0"/>
        <v>186</v>
      </c>
      <c r="M32" s="80"/>
      <c r="N32" s="80"/>
      <c r="O32" s="80"/>
      <c r="P32" s="80"/>
      <c r="Q32" s="80"/>
      <c r="R32" s="80"/>
      <c r="S32" s="576"/>
    </row>
    <row r="33" spans="1:19" ht="17.25" customHeight="1" x14ac:dyDescent="0.2">
      <c r="A33" s="222" t="s">
        <v>581</v>
      </c>
      <c r="B33" s="223" t="s">
        <v>276</v>
      </c>
      <c r="C33" s="231"/>
      <c r="D33" s="226"/>
      <c r="E33" s="225"/>
      <c r="F33" s="226"/>
      <c r="G33" s="515">
        <v>5065</v>
      </c>
      <c r="H33" s="541"/>
      <c r="I33" s="230"/>
      <c r="J33" s="230"/>
      <c r="K33" s="227">
        <f t="shared" si="0"/>
        <v>5065</v>
      </c>
      <c r="M33" s="80"/>
      <c r="N33" s="80"/>
      <c r="O33" s="80"/>
      <c r="P33" s="80"/>
      <c r="Q33" s="80"/>
      <c r="R33" s="80"/>
      <c r="S33" s="576"/>
    </row>
    <row r="34" spans="1:19" ht="17.25" customHeight="1" x14ac:dyDescent="0.2">
      <c r="A34" s="222" t="s">
        <v>601</v>
      </c>
      <c r="B34" s="223" t="s">
        <v>277</v>
      </c>
      <c r="C34" s="231"/>
      <c r="D34" s="226"/>
      <c r="E34" s="225"/>
      <c r="F34" s="226"/>
      <c r="G34" s="515">
        <v>0</v>
      </c>
      <c r="H34" s="541"/>
      <c r="I34" s="230"/>
      <c r="J34" s="230"/>
      <c r="K34" s="227">
        <f t="shared" si="0"/>
        <v>0</v>
      </c>
      <c r="M34" s="80"/>
      <c r="N34" s="80"/>
      <c r="O34" s="80"/>
      <c r="P34" s="80"/>
      <c r="Q34" s="80"/>
      <c r="R34" s="80"/>
      <c r="S34" s="576"/>
    </row>
    <row r="35" spans="1:19" ht="17.25" customHeight="1" x14ac:dyDescent="0.2">
      <c r="A35" s="222" t="s">
        <v>602</v>
      </c>
      <c r="B35" s="223" t="s">
        <v>278</v>
      </c>
      <c r="C35" s="231"/>
      <c r="D35" s="226"/>
      <c r="E35" s="225"/>
      <c r="F35" s="226"/>
      <c r="G35" s="515">
        <v>455</v>
      </c>
      <c r="H35" s="541"/>
      <c r="I35" s="230"/>
      <c r="J35" s="230"/>
      <c r="K35" s="227">
        <f t="shared" si="0"/>
        <v>455</v>
      </c>
      <c r="M35" s="80"/>
      <c r="N35" s="80"/>
      <c r="O35" s="80"/>
      <c r="P35" s="80"/>
      <c r="Q35" s="80"/>
      <c r="R35" s="80"/>
      <c r="S35" s="576"/>
    </row>
    <row r="36" spans="1:19" ht="17.25" customHeight="1" x14ac:dyDescent="0.2">
      <c r="A36" s="222" t="s">
        <v>603</v>
      </c>
      <c r="B36" s="223" t="s">
        <v>585</v>
      </c>
      <c r="C36" s="231"/>
      <c r="D36" s="226"/>
      <c r="E36" s="225"/>
      <c r="F36" s="226"/>
      <c r="G36" s="515">
        <v>500</v>
      </c>
      <c r="H36" s="541"/>
      <c r="I36" s="230"/>
      <c r="J36" s="230"/>
      <c r="K36" s="227">
        <f t="shared" si="0"/>
        <v>500</v>
      </c>
      <c r="M36" s="80"/>
      <c r="N36" s="80"/>
      <c r="O36" s="80"/>
      <c r="P36" s="80"/>
      <c r="Q36" s="80"/>
      <c r="R36" s="80"/>
      <c r="S36" s="576"/>
    </row>
    <row r="37" spans="1:19" ht="17.25" customHeight="1" x14ac:dyDescent="0.2">
      <c r="A37" s="222" t="s">
        <v>604</v>
      </c>
      <c r="B37" s="223" t="s">
        <v>279</v>
      </c>
      <c r="C37" s="231"/>
      <c r="D37" s="226"/>
      <c r="E37" s="225"/>
      <c r="F37" s="226"/>
      <c r="G37" s="515">
        <v>2032</v>
      </c>
      <c r="H37" s="541"/>
      <c r="I37" s="230"/>
      <c r="J37" s="230"/>
      <c r="K37" s="227">
        <f t="shared" si="0"/>
        <v>2032</v>
      </c>
      <c r="M37" s="80"/>
      <c r="N37" s="80"/>
      <c r="O37" s="80"/>
      <c r="P37" s="80"/>
      <c r="Q37" s="80"/>
      <c r="R37" s="80"/>
      <c r="S37" s="576"/>
    </row>
    <row r="38" spans="1:19" ht="17.25" customHeight="1" x14ac:dyDescent="0.2">
      <c r="A38" s="222" t="s">
        <v>605</v>
      </c>
      <c r="B38" s="223" t="s">
        <v>280</v>
      </c>
      <c r="C38" s="231"/>
      <c r="D38" s="517">
        <v>2286</v>
      </c>
      <c r="E38" s="231"/>
      <c r="F38" s="226"/>
      <c r="G38" s="516"/>
      <c r="H38" s="463"/>
      <c r="K38" s="227">
        <f t="shared" si="0"/>
        <v>2286</v>
      </c>
      <c r="M38" s="80"/>
      <c r="N38" s="80"/>
      <c r="O38" s="80"/>
      <c r="P38" s="80"/>
      <c r="Q38" s="80"/>
      <c r="R38" s="80"/>
      <c r="S38" s="576"/>
    </row>
    <row r="39" spans="1:19" ht="17.25" customHeight="1" thickBot="1" x14ac:dyDescent="0.25">
      <c r="A39" s="222" t="s">
        <v>606</v>
      </c>
      <c r="B39" s="223" t="s">
        <v>281</v>
      </c>
      <c r="C39" s="231"/>
      <c r="D39" s="226"/>
      <c r="E39" s="225"/>
      <c r="F39" s="226"/>
      <c r="G39" s="225"/>
      <c r="H39" s="541"/>
      <c r="I39" s="230"/>
      <c r="J39" s="230"/>
      <c r="K39" s="227">
        <f t="shared" si="0"/>
        <v>0</v>
      </c>
      <c r="M39" s="80"/>
      <c r="N39" s="80"/>
      <c r="O39" s="80"/>
      <c r="P39" s="80"/>
      <c r="Q39" s="80"/>
      <c r="R39" s="80"/>
      <c r="S39" s="576"/>
    </row>
    <row r="40" spans="1:19" ht="17.25" customHeight="1" thickBot="1" x14ac:dyDescent="0.25">
      <c r="A40" s="1235" t="s">
        <v>610</v>
      </c>
      <c r="B40" s="1236"/>
      <c r="C40" s="363">
        <f>SUM(C10:C39)</f>
        <v>40369</v>
      </c>
      <c r="D40" s="363">
        <f>SUM(D10:D39)</f>
        <v>43113</v>
      </c>
      <c r="E40" s="563">
        <f>SUM(E10:E39)</f>
        <v>543007</v>
      </c>
      <c r="F40" s="564">
        <f>SUM(F10:F39)</f>
        <v>692313</v>
      </c>
      <c r="G40" s="363">
        <f>SUM(G10:G39)</f>
        <v>746726</v>
      </c>
      <c r="H40" s="543">
        <f>SUM(H12:H39)</f>
        <v>93769</v>
      </c>
      <c r="I40" s="543">
        <f>SUM(I12:I39)</f>
        <v>0</v>
      </c>
      <c r="J40" s="543">
        <f>SUM(J12:J39)</f>
        <v>0</v>
      </c>
      <c r="K40" s="364">
        <f>SUM(C40:J40)</f>
        <v>2159297</v>
      </c>
      <c r="M40" s="80"/>
      <c r="N40" s="80"/>
      <c r="O40" s="80"/>
      <c r="P40" s="80"/>
      <c r="Q40" s="80"/>
      <c r="R40" s="80"/>
      <c r="S40" s="576"/>
    </row>
    <row r="41" spans="1:19" ht="17.25" customHeight="1" x14ac:dyDescent="0.2">
      <c r="M41" s="80"/>
      <c r="N41" s="80"/>
      <c r="O41" s="80"/>
      <c r="P41" s="80"/>
      <c r="Q41" s="80"/>
      <c r="R41" s="80"/>
      <c r="S41" s="576"/>
    </row>
    <row r="42" spans="1:19" ht="17.25" customHeight="1" x14ac:dyDescent="0.2">
      <c r="M42" s="80"/>
      <c r="N42" s="80"/>
      <c r="O42" s="80"/>
      <c r="P42" s="80"/>
      <c r="Q42" s="80"/>
      <c r="R42" s="80"/>
      <c r="S42" s="576"/>
    </row>
    <row r="43" spans="1:19" ht="17.25" customHeight="1" x14ac:dyDescent="0.2">
      <c r="M43" s="80"/>
      <c r="N43" s="80"/>
      <c r="O43" s="80"/>
      <c r="P43" s="80"/>
      <c r="Q43" s="80"/>
      <c r="R43" s="80"/>
      <c r="S43" s="576"/>
    </row>
    <row r="44" spans="1:19" ht="17.25" customHeight="1" x14ac:dyDescent="0.2">
      <c r="M44" s="80"/>
      <c r="N44" s="80"/>
      <c r="O44" s="80"/>
      <c r="P44" s="80"/>
      <c r="Q44" s="80"/>
      <c r="R44" s="80"/>
      <c r="S44" s="576"/>
    </row>
    <row r="45" spans="1:19" ht="17.25" customHeight="1" x14ac:dyDescent="0.2">
      <c r="M45" s="80"/>
      <c r="N45" s="80"/>
      <c r="O45" s="80"/>
      <c r="P45" s="80"/>
      <c r="Q45" s="80"/>
      <c r="R45" s="80"/>
      <c r="S45" s="576"/>
    </row>
    <row r="46" spans="1:19" ht="17.25" customHeight="1" x14ac:dyDescent="0.2">
      <c r="M46" s="80"/>
      <c r="N46" s="80"/>
      <c r="O46" s="80"/>
      <c r="P46" s="80"/>
      <c r="Q46" s="80"/>
      <c r="R46" s="80"/>
      <c r="S46" s="576"/>
    </row>
    <row r="47" spans="1:19" ht="17.25" customHeight="1" x14ac:dyDescent="0.2">
      <c r="M47" s="80"/>
      <c r="N47" s="80"/>
      <c r="O47" s="80"/>
      <c r="P47" s="80"/>
      <c r="Q47" s="80"/>
      <c r="R47" s="80"/>
      <c r="S47" s="576"/>
    </row>
    <row r="48" spans="1:19" ht="17.25" customHeight="1" x14ac:dyDescent="0.2">
      <c r="M48" s="80"/>
      <c r="N48" s="80"/>
      <c r="O48" s="80"/>
      <c r="P48" s="80"/>
      <c r="Q48" s="80"/>
      <c r="R48" s="80"/>
      <c r="S48" s="576"/>
    </row>
    <row r="49" spans="2:24" ht="17.25" customHeight="1" x14ac:dyDescent="0.2">
      <c r="M49" s="80"/>
      <c r="N49" s="80"/>
      <c r="O49" s="80"/>
      <c r="P49" s="80"/>
      <c r="Q49" s="80"/>
      <c r="R49" s="80"/>
      <c r="S49" s="576"/>
    </row>
    <row r="50" spans="2:24" ht="17.25" customHeight="1" x14ac:dyDescent="0.2">
      <c r="M50" s="80"/>
      <c r="N50" s="80"/>
      <c r="O50" s="80"/>
      <c r="P50" s="80"/>
      <c r="Q50" s="80"/>
      <c r="R50" s="80"/>
      <c r="S50" s="576"/>
    </row>
    <row r="51" spans="2:24" ht="17.25" customHeight="1" x14ac:dyDescent="0.2">
      <c r="M51" s="80"/>
      <c r="N51" s="80"/>
      <c r="O51" s="80"/>
      <c r="P51" s="80"/>
      <c r="Q51" s="80"/>
      <c r="R51" s="80"/>
      <c r="S51" s="576"/>
    </row>
    <row r="52" spans="2:24" ht="17.25" customHeight="1" x14ac:dyDescent="0.2">
      <c r="M52" s="80"/>
      <c r="N52" s="80"/>
      <c r="O52" s="80"/>
      <c r="P52" s="80"/>
      <c r="Q52" s="80"/>
      <c r="R52" s="80"/>
      <c r="S52" s="576"/>
    </row>
    <row r="53" spans="2:24" ht="17.25" customHeight="1" x14ac:dyDescent="0.2">
      <c r="M53" s="80"/>
      <c r="N53" s="80"/>
      <c r="O53" s="80"/>
      <c r="P53" s="80"/>
      <c r="Q53" s="80"/>
      <c r="R53" s="80"/>
      <c r="S53" s="576"/>
    </row>
    <row r="54" spans="2:24" ht="17.25" customHeight="1" x14ac:dyDescent="0.2">
      <c r="M54" s="80"/>
      <c r="N54" s="80"/>
      <c r="O54" s="80"/>
      <c r="P54" s="80"/>
      <c r="Q54" s="80"/>
      <c r="R54" s="80"/>
      <c r="S54" s="576"/>
    </row>
    <row r="55" spans="2:24" ht="17.25" customHeight="1" x14ac:dyDescent="0.2">
      <c r="M55" s="80"/>
      <c r="N55" s="80"/>
      <c r="O55" s="80"/>
      <c r="P55" s="80"/>
      <c r="Q55" s="80"/>
      <c r="R55" s="80"/>
      <c r="S55" s="576"/>
    </row>
    <row r="56" spans="2:24" ht="17.25" customHeight="1" x14ac:dyDescent="0.2">
      <c r="M56" s="80"/>
      <c r="N56" s="80"/>
      <c r="O56" s="80"/>
      <c r="P56" s="80"/>
      <c r="Q56" s="80"/>
      <c r="R56" s="80"/>
      <c r="S56" s="576"/>
    </row>
    <row r="57" spans="2:24" ht="17.25" customHeight="1" x14ac:dyDescent="0.2">
      <c r="M57" s="80"/>
      <c r="N57" s="80"/>
      <c r="O57" s="80"/>
      <c r="P57" s="80"/>
      <c r="Q57" s="80"/>
      <c r="R57" s="80"/>
      <c r="S57" s="576"/>
    </row>
    <row r="58" spans="2:24" ht="17.25" customHeight="1" x14ac:dyDescent="0.2">
      <c r="M58" s="80"/>
      <c r="N58" s="80"/>
      <c r="O58" s="80"/>
      <c r="P58" s="80"/>
      <c r="Q58" s="80"/>
      <c r="R58" s="80"/>
      <c r="S58" s="576"/>
    </row>
    <row r="64" spans="2:24" ht="17.25" customHeight="1" x14ac:dyDescent="0.2">
      <c r="B64" s="1258" t="s">
        <v>586</v>
      </c>
      <c r="C64" s="1179"/>
      <c r="D64" s="1179"/>
      <c r="E64" s="1179"/>
      <c r="F64" s="1179"/>
      <c r="G64" s="1179"/>
      <c r="H64" s="1179"/>
      <c r="I64" s="1179"/>
      <c r="J64" s="1179"/>
      <c r="K64" s="1179"/>
      <c r="L64" s="1179"/>
      <c r="M64" s="1179"/>
      <c r="N64" s="1179"/>
      <c r="O64" s="1179"/>
      <c r="P64" s="1179"/>
      <c r="Q64" s="1179"/>
      <c r="R64" s="1179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134" t="s">
        <v>562</v>
      </c>
      <c r="B66" s="1179"/>
      <c r="C66" s="1179"/>
      <c r="D66" s="1179"/>
      <c r="E66" s="1179"/>
      <c r="F66" s="1179"/>
      <c r="G66" s="1179"/>
      <c r="H66" s="1179"/>
      <c r="I66" s="1179"/>
      <c r="J66" s="1179"/>
      <c r="K66" s="1179"/>
      <c r="L66" s="1179"/>
      <c r="M66" s="1179"/>
      <c r="N66" s="1179"/>
      <c r="O66" s="1179"/>
      <c r="P66" s="1179"/>
      <c r="Q66" s="1179"/>
      <c r="R66" s="1179"/>
    </row>
    <row r="67" spans="1:23" ht="17.25" customHeight="1" x14ac:dyDescent="0.2">
      <c r="A67" s="1134" t="s">
        <v>309</v>
      </c>
      <c r="B67" s="1179"/>
      <c r="C67" s="1179"/>
      <c r="D67" s="1179"/>
      <c r="E67" s="1179"/>
      <c r="F67" s="1179"/>
      <c r="G67" s="1179"/>
      <c r="H67" s="1179"/>
      <c r="I67" s="1179"/>
      <c r="J67" s="1179"/>
      <c r="K67" s="1179"/>
      <c r="L67" s="1179"/>
      <c r="M67" s="1179"/>
      <c r="N67" s="1179"/>
      <c r="O67" s="1179"/>
      <c r="P67" s="1179"/>
      <c r="Q67" s="1179"/>
      <c r="R67" s="1179"/>
    </row>
    <row r="68" spans="1:23" ht="17.25" customHeight="1" x14ac:dyDescent="0.2">
      <c r="B68" s="217"/>
      <c r="C68" s="218"/>
      <c r="D68" s="218"/>
      <c r="E68" s="218"/>
      <c r="F68" s="218"/>
      <c r="G68" s="218"/>
      <c r="H68" s="218"/>
      <c r="I68" s="218"/>
      <c r="J68" s="218"/>
      <c r="K68" s="218"/>
    </row>
    <row r="69" spans="1:23" ht="12.75" customHeight="1" thickBot="1" x14ac:dyDescent="0.25">
      <c r="A69" s="1264" t="s">
        <v>321</v>
      </c>
      <c r="B69" s="1265"/>
      <c r="C69" s="1265"/>
      <c r="D69" s="1265"/>
      <c r="E69" s="1265"/>
      <c r="F69" s="1265"/>
      <c r="G69" s="1265"/>
      <c r="H69" s="1265"/>
      <c r="I69" s="1265"/>
      <c r="J69" s="1265"/>
      <c r="K69" s="1265"/>
      <c r="L69" s="1210"/>
      <c r="M69" s="1210"/>
      <c r="N69" s="1210"/>
      <c r="O69" s="1210"/>
      <c r="P69" s="1210"/>
      <c r="Q69" s="1210"/>
      <c r="R69" s="1210"/>
    </row>
    <row r="70" spans="1:23" s="117" customFormat="1" ht="11.25" customHeight="1" x14ac:dyDescent="0.2">
      <c r="A70" s="1248" t="s">
        <v>498</v>
      </c>
      <c r="B70" s="1237" t="s">
        <v>86</v>
      </c>
      <c r="C70" s="1255" t="s">
        <v>57</v>
      </c>
      <c r="D70" s="1254"/>
      <c r="E70" s="1254" t="s">
        <v>58</v>
      </c>
      <c r="F70" s="1254"/>
      <c r="G70" s="1254" t="s">
        <v>59</v>
      </c>
      <c r="H70" s="1254"/>
      <c r="I70" s="1256"/>
      <c r="J70" s="1255"/>
      <c r="K70" s="318" t="s">
        <v>60</v>
      </c>
      <c r="L70" s="1257" t="s">
        <v>499</v>
      </c>
      <c r="M70" s="1253"/>
      <c r="N70" s="1253" t="s">
        <v>500</v>
      </c>
      <c r="O70" s="1253"/>
      <c r="P70" s="1253" t="s">
        <v>501</v>
      </c>
      <c r="Q70" s="1253"/>
      <c r="R70" s="314" t="s">
        <v>629</v>
      </c>
      <c r="S70" s="588"/>
    </row>
    <row r="71" spans="1:23" ht="31.5" customHeight="1" x14ac:dyDescent="0.2">
      <c r="A71" s="1249"/>
      <c r="B71" s="1238"/>
      <c r="C71" s="1259" t="s">
        <v>587</v>
      </c>
      <c r="D71" s="1262"/>
      <c r="E71" s="1262"/>
      <c r="F71" s="1262"/>
      <c r="G71" s="1262"/>
      <c r="H71" s="1262"/>
      <c r="I71" s="1262"/>
      <c r="J71" s="1262"/>
      <c r="K71" s="1263"/>
      <c r="L71" s="1259" t="s">
        <v>545</v>
      </c>
      <c r="M71" s="1260"/>
      <c r="N71" s="1260"/>
      <c r="O71" s="1260"/>
      <c r="P71" s="1260"/>
      <c r="Q71" s="1260"/>
      <c r="R71" s="1261"/>
    </row>
    <row r="72" spans="1:23" ht="36" customHeight="1" thickBot="1" x14ac:dyDescent="0.25">
      <c r="A72" s="1249"/>
      <c r="B72" s="1238"/>
      <c r="C72" s="1240" t="s">
        <v>478</v>
      </c>
      <c r="D72" s="1241"/>
      <c r="E72" s="1241" t="s">
        <v>479</v>
      </c>
      <c r="F72" s="1241"/>
      <c r="G72" s="1241" t="s">
        <v>22</v>
      </c>
      <c r="H72" s="1241"/>
      <c r="I72" s="1242"/>
      <c r="J72" s="1243"/>
      <c r="K72" s="1251" t="s">
        <v>564</v>
      </c>
      <c r="L72" s="1240" t="s">
        <v>478</v>
      </c>
      <c r="M72" s="1241"/>
      <c r="N72" s="1241" t="s">
        <v>479</v>
      </c>
      <c r="O72" s="1241"/>
      <c r="P72" s="1241" t="s">
        <v>22</v>
      </c>
      <c r="Q72" s="1241"/>
      <c r="R72" s="1246" t="s">
        <v>564</v>
      </c>
    </row>
    <row r="73" spans="1:23" ht="35.25" customHeight="1" thickBot="1" x14ac:dyDescent="0.25">
      <c r="A73" s="1249"/>
      <c r="B73" s="1238"/>
      <c r="C73" s="1240"/>
      <c r="D73" s="1241"/>
      <c r="E73" s="1241"/>
      <c r="F73" s="1241"/>
      <c r="G73" s="1241"/>
      <c r="H73" s="1241"/>
      <c r="I73" s="1244"/>
      <c r="J73" s="1245"/>
      <c r="K73" s="1251"/>
      <c r="L73" s="1240"/>
      <c r="M73" s="1241"/>
      <c r="N73" s="1241"/>
      <c r="O73" s="1241"/>
      <c r="P73" s="1241"/>
      <c r="Q73" s="1241"/>
      <c r="R73" s="1246"/>
    </row>
    <row r="74" spans="1:23" ht="32.25" customHeight="1" thickBot="1" x14ac:dyDescent="0.25">
      <c r="A74" s="1250"/>
      <c r="B74" s="1239"/>
      <c r="C74" s="520" t="s">
        <v>62</v>
      </c>
      <c r="D74" s="320" t="s">
        <v>63</v>
      </c>
      <c r="E74" s="319" t="s">
        <v>62</v>
      </c>
      <c r="F74" s="319" t="s">
        <v>63</v>
      </c>
      <c r="G74" s="319" t="s">
        <v>62</v>
      </c>
      <c r="H74" s="319" t="s">
        <v>63</v>
      </c>
      <c r="I74" s="319" t="s">
        <v>62</v>
      </c>
      <c r="J74" s="319" t="s">
        <v>63</v>
      </c>
      <c r="K74" s="1252"/>
      <c r="L74" s="322" t="s">
        <v>62</v>
      </c>
      <c r="M74" s="323" t="s">
        <v>63</v>
      </c>
      <c r="N74" s="317" t="s">
        <v>62</v>
      </c>
      <c r="O74" s="317" t="s">
        <v>63</v>
      </c>
      <c r="P74" s="317" t="s">
        <v>62</v>
      </c>
      <c r="Q74" s="317" t="s">
        <v>63</v>
      </c>
      <c r="R74" s="1247"/>
    </row>
    <row r="75" spans="1:23" ht="17.25" customHeight="1" x14ac:dyDescent="0.2">
      <c r="A75" s="232">
        <v>1</v>
      </c>
      <c r="B75" s="584" t="s">
        <v>590</v>
      </c>
      <c r="C75" s="252">
        <v>10</v>
      </c>
      <c r="D75" s="252">
        <v>0</v>
      </c>
      <c r="E75" s="252"/>
      <c r="F75" s="252"/>
      <c r="G75" s="252"/>
      <c r="H75" s="252"/>
      <c r="I75" s="252"/>
      <c r="J75" s="252"/>
      <c r="K75" s="519">
        <f>SUM(C75:H75)</f>
        <v>10</v>
      </c>
      <c r="L75" s="324">
        <v>20</v>
      </c>
      <c r="M75" s="324">
        <v>188</v>
      </c>
      <c r="N75" s="324"/>
      <c r="O75" s="324"/>
      <c r="P75" s="324"/>
      <c r="Q75" s="324"/>
      <c r="R75" s="325">
        <f>SUM(L75:Q75)</f>
        <v>208</v>
      </c>
    </row>
    <row r="76" spans="1:23" ht="17.25" customHeight="1" x14ac:dyDescent="0.2">
      <c r="A76" s="232">
        <v>2</v>
      </c>
      <c r="B76" s="585" t="s">
        <v>589</v>
      </c>
      <c r="C76" s="252"/>
      <c r="D76" s="252">
        <v>284</v>
      </c>
      <c r="E76" s="252"/>
      <c r="F76" s="252"/>
      <c r="G76" s="252"/>
      <c r="H76" s="252"/>
      <c r="I76" s="252"/>
      <c r="J76" s="252"/>
      <c r="K76" s="550">
        <f>SUM(C76:H76)</f>
        <v>284</v>
      </c>
      <c r="L76" s="252"/>
      <c r="M76" s="252"/>
      <c r="N76" s="252"/>
      <c r="O76" s="252"/>
      <c r="P76" s="252"/>
      <c r="Q76" s="252"/>
      <c r="R76" s="544"/>
    </row>
    <row r="77" spans="1:23" ht="17.25" customHeight="1" x14ac:dyDescent="0.2">
      <c r="A77" s="232">
        <v>3</v>
      </c>
      <c r="B77" s="585" t="s">
        <v>588</v>
      </c>
      <c r="C77" s="252">
        <v>3</v>
      </c>
      <c r="D77" s="252">
        <v>78</v>
      </c>
      <c r="E77" s="252"/>
      <c r="F77" s="252"/>
      <c r="G77" s="252"/>
      <c r="H77" s="252"/>
      <c r="I77" s="252"/>
      <c r="J77" s="252"/>
      <c r="K77" s="550">
        <f>SUM(C77:H77)</f>
        <v>81</v>
      </c>
      <c r="L77" s="252"/>
      <c r="M77" s="252"/>
      <c r="N77" s="252"/>
      <c r="O77" s="252"/>
      <c r="P77" s="252"/>
      <c r="Q77" s="252"/>
      <c r="R77" s="544"/>
    </row>
    <row r="78" spans="1:23" ht="17.25" customHeight="1" x14ac:dyDescent="0.2">
      <c r="A78" s="222">
        <v>4</v>
      </c>
      <c r="B78" s="585" t="s">
        <v>591</v>
      </c>
      <c r="C78" s="583">
        <v>2</v>
      </c>
      <c r="D78" s="321"/>
      <c r="E78" s="321"/>
      <c r="F78" s="321"/>
      <c r="G78" s="321"/>
      <c r="H78" s="321"/>
      <c r="I78" s="321"/>
      <c r="J78" s="321"/>
      <c r="K78" s="550">
        <f>SUM(C78:H78)</f>
        <v>2</v>
      </c>
      <c r="L78" s="326"/>
      <c r="M78" s="326"/>
      <c r="N78" s="326"/>
      <c r="O78" s="326"/>
      <c r="P78" s="326"/>
      <c r="Q78" s="326"/>
      <c r="R78" s="327"/>
    </row>
    <row r="79" spans="1:23" ht="17.25" customHeight="1" thickBot="1" x14ac:dyDescent="0.25">
      <c r="A79" s="551">
        <v>5</v>
      </c>
      <c r="B79" s="586" t="s">
        <v>592</v>
      </c>
      <c r="C79" s="583"/>
      <c r="D79" s="321">
        <v>40</v>
      </c>
      <c r="E79" s="321"/>
      <c r="F79" s="321"/>
      <c r="G79" s="321"/>
      <c r="H79" s="321"/>
      <c r="I79" s="321"/>
      <c r="J79" s="321"/>
      <c r="K79" s="587">
        <f>SUM(C79:J79)</f>
        <v>40</v>
      </c>
      <c r="L79" s="326"/>
      <c r="M79" s="326"/>
      <c r="N79" s="326"/>
      <c r="O79" s="326"/>
      <c r="P79" s="326"/>
      <c r="Q79" s="326"/>
      <c r="R79" s="327"/>
    </row>
    <row r="80" spans="1:23" ht="17.25" customHeight="1" thickBot="1" x14ac:dyDescent="0.25">
      <c r="A80" s="538" t="s">
        <v>282</v>
      </c>
      <c r="B80" s="545"/>
      <c r="C80" s="546">
        <f>SUM(C74:C78)</f>
        <v>15</v>
      </c>
      <c r="D80" s="546">
        <f>SUM(D74:D79)</f>
        <v>402</v>
      </c>
      <c r="E80" s="547">
        <f>SUM(E74)</f>
        <v>0</v>
      </c>
      <c r="F80" s="547">
        <f>SUM(F74)</f>
        <v>0</v>
      </c>
      <c r="G80" s="547">
        <f>SUM(G74)</f>
        <v>0</v>
      </c>
      <c r="H80" s="547">
        <f>SUM(H74:H78)</f>
        <v>0</v>
      </c>
      <c r="I80" s="548"/>
      <c r="J80" s="548"/>
      <c r="K80" s="549">
        <f>SUM(K74:K79)</f>
        <v>417</v>
      </c>
      <c r="L80" s="518">
        <f>SUM(L75:L78)</f>
        <v>20</v>
      </c>
      <c r="M80" s="315">
        <f>SUM(M75:M78)</f>
        <v>188</v>
      </c>
      <c r="N80" s="315"/>
      <c r="O80" s="315"/>
      <c r="P80" s="315"/>
      <c r="Q80" s="315"/>
      <c r="R80" s="328">
        <f>SUM(L80:Q80)</f>
        <v>208</v>
      </c>
      <c r="S80" s="589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70"/>
  <sheetViews>
    <sheetView zoomScale="130" zoomScaleNormal="130" workbookViewId="0">
      <selection activeCell="S62" sqref="S62"/>
    </sheetView>
  </sheetViews>
  <sheetFormatPr defaultColWidth="9.140625" defaultRowHeight="10.5" x14ac:dyDescent="0.2"/>
  <cols>
    <col min="1" max="1" width="4.140625" style="80" customWidth="1"/>
    <col min="2" max="2" width="4.85546875" style="353" customWidth="1"/>
    <col min="3" max="3" width="26.7109375" style="360" customWidth="1"/>
    <col min="4" max="4" width="5.85546875" style="361" customWidth="1"/>
    <col min="5" max="5" width="6.7109375" style="362" customWidth="1"/>
    <col min="6" max="6" width="5.85546875" style="362" customWidth="1"/>
    <col min="7" max="7" width="6.42578125" style="362" customWidth="1"/>
    <col min="8" max="8" width="5.28515625" style="362" customWidth="1"/>
    <col min="9" max="9" width="6.42578125" style="362" customWidth="1"/>
    <col min="10" max="10" width="5.7109375" style="362" customWidth="1"/>
    <col min="11" max="11" width="5.5703125" style="362" customWidth="1"/>
    <col min="12" max="12" width="6" style="362" customWidth="1"/>
    <col min="13" max="15" width="5.85546875" style="362" customWidth="1"/>
    <col min="16" max="16" width="4.7109375" style="362" customWidth="1"/>
    <col min="17" max="17" width="5" style="362" customWidth="1"/>
    <col min="18" max="18" width="6.5703125" style="362" bestFit="1" customWidth="1"/>
    <col min="19" max="19" width="12.85546875" style="352" customWidth="1"/>
    <col min="20" max="22" width="9.140625" style="352"/>
    <col min="23" max="16384" width="9.140625" style="80"/>
  </cols>
  <sheetData>
    <row r="1" spans="1:22" ht="12.75" x14ac:dyDescent="0.2">
      <c r="B1" s="1258" t="s">
        <v>1240</v>
      </c>
      <c r="C1" s="1285"/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1285"/>
      <c r="O1" s="1285"/>
      <c r="P1" s="1285"/>
      <c r="Q1" s="1285"/>
      <c r="R1" s="1285"/>
    </row>
    <row r="2" spans="1:22" ht="12.75" x14ac:dyDescent="0.2">
      <c r="B2" s="1286" t="s">
        <v>78</v>
      </c>
      <c r="C2" s="1287"/>
      <c r="D2" s="1287"/>
      <c r="E2" s="1287"/>
      <c r="F2" s="1287"/>
      <c r="G2" s="1287"/>
      <c r="H2" s="1287"/>
      <c r="I2" s="1287"/>
      <c r="J2" s="1287"/>
      <c r="K2" s="1287"/>
      <c r="L2" s="1287"/>
      <c r="M2" s="1287"/>
      <c r="N2" s="1287"/>
      <c r="O2" s="1287"/>
      <c r="P2" s="1287"/>
      <c r="Q2" s="1287"/>
      <c r="R2" s="1287"/>
    </row>
    <row r="3" spans="1:22" ht="12.75" x14ac:dyDescent="0.2">
      <c r="A3" s="81"/>
      <c r="B3" s="1134" t="s">
        <v>1132</v>
      </c>
      <c r="C3" s="1285"/>
      <c r="D3" s="1285"/>
      <c r="E3" s="1285"/>
      <c r="F3" s="1285"/>
      <c r="G3" s="1285"/>
      <c r="H3" s="1285"/>
      <c r="I3" s="1285"/>
      <c r="J3" s="1285"/>
      <c r="K3" s="1285"/>
      <c r="L3" s="1285"/>
      <c r="M3" s="1285"/>
      <c r="N3" s="1285"/>
      <c r="O3" s="1285"/>
      <c r="P3" s="1285"/>
      <c r="Q3" s="1285"/>
      <c r="R3" s="1285"/>
    </row>
    <row r="4" spans="1:22" x14ac:dyDescent="0.2">
      <c r="A4" s="81"/>
      <c r="C4" s="1298" t="s">
        <v>321</v>
      </c>
      <c r="D4" s="1298"/>
      <c r="E4" s="1298"/>
      <c r="F4" s="1298"/>
      <c r="G4" s="1298"/>
      <c r="H4" s="1298"/>
      <c r="I4" s="1298"/>
      <c r="J4" s="1298"/>
      <c r="K4" s="1298"/>
      <c r="L4" s="1298"/>
      <c r="M4" s="1298"/>
      <c r="N4" s="1298"/>
      <c r="O4" s="1298"/>
      <c r="P4" s="1298"/>
      <c r="Q4" s="1298"/>
      <c r="R4" s="1298"/>
    </row>
    <row r="5" spans="1:22" x14ac:dyDescent="0.2">
      <c r="A5" s="882"/>
      <c r="B5" s="1288" t="s">
        <v>498</v>
      </c>
      <c r="C5" s="880" t="s">
        <v>57</v>
      </c>
      <c r="D5" s="1282" t="s">
        <v>58</v>
      </c>
      <c r="E5" s="1281"/>
      <c r="F5" s="1282" t="s">
        <v>59</v>
      </c>
      <c r="G5" s="1281"/>
      <c r="H5" s="1282" t="s">
        <v>628</v>
      </c>
      <c r="I5" s="1281"/>
      <c r="J5" s="1282" t="s">
        <v>499</v>
      </c>
      <c r="K5" s="1281"/>
      <c r="L5" s="1280" t="s">
        <v>500</v>
      </c>
      <c r="M5" s="1281"/>
      <c r="N5" s="1280" t="s">
        <v>501</v>
      </c>
      <c r="O5" s="1281"/>
      <c r="P5" s="1280" t="s">
        <v>629</v>
      </c>
      <c r="Q5" s="1281"/>
      <c r="R5" s="553" t="s">
        <v>640</v>
      </c>
    </row>
    <row r="6" spans="1:22" ht="12.75" x14ac:dyDescent="0.2">
      <c r="A6" s="882"/>
      <c r="B6" s="1289"/>
      <c r="C6" s="881"/>
      <c r="D6" s="1299" t="s">
        <v>1125</v>
      </c>
      <c r="E6" s="1300"/>
      <c r="F6" s="1300"/>
      <c r="G6" s="1300"/>
      <c r="H6" s="1300"/>
      <c r="I6" s="1300"/>
      <c r="J6" s="1300"/>
      <c r="K6" s="1300"/>
      <c r="L6" s="1300"/>
      <c r="M6" s="1300"/>
      <c r="N6" s="1300"/>
      <c r="O6" s="1300"/>
      <c r="P6" s="1300"/>
      <c r="Q6" s="1300"/>
      <c r="R6" s="1301"/>
    </row>
    <row r="7" spans="1:22" ht="24.95" customHeight="1" x14ac:dyDescent="0.2">
      <c r="A7" s="882"/>
      <c r="B7" s="1289"/>
      <c r="C7" s="1275" t="s">
        <v>86</v>
      </c>
      <c r="D7" s="1291" t="s">
        <v>477</v>
      </c>
      <c r="E7" s="1284"/>
      <c r="F7" s="1283" t="s">
        <v>21</v>
      </c>
      <c r="G7" s="1283"/>
      <c r="H7" s="1283" t="s">
        <v>475</v>
      </c>
      <c r="I7" s="1283"/>
      <c r="J7" s="1284" t="s">
        <v>487</v>
      </c>
      <c r="K7" s="1284"/>
      <c r="L7" s="1284" t="s">
        <v>486</v>
      </c>
      <c r="M7" s="1284"/>
      <c r="N7" s="1242" t="s">
        <v>283</v>
      </c>
      <c r="O7" s="1292"/>
      <c r="P7" s="1284" t="s">
        <v>476</v>
      </c>
      <c r="Q7" s="1284"/>
      <c r="R7" s="1295" t="s">
        <v>564</v>
      </c>
    </row>
    <row r="8" spans="1:22" ht="26.25" customHeight="1" x14ac:dyDescent="0.2">
      <c r="A8" s="882"/>
      <c r="B8" s="1289"/>
      <c r="C8" s="1276"/>
      <c r="D8" s="1291"/>
      <c r="E8" s="1284"/>
      <c r="F8" s="1283"/>
      <c r="G8" s="1283"/>
      <c r="H8" s="1283"/>
      <c r="I8" s="1283"/>
      <c r="J8" s="1284"/>
      <c r="K8" s="1284"/>
      <c r="L8" s="1284"/>
      <c r="M8" s="1284"/>
      <c r="N8" s="1293"/>
      <c r="O8" s="1294"/>
      <c r="P8" s="1284"/>
      <c r="Q8" s="1284"/>
      <c r="R8" s="1296"/>
      <c r="S8" s="841"/>
      <c r="T8" s="359"/>
    </row>
    <row r="9" spans="1:22" s="275" customFormat="1" ht="40.9" customHeight="1" x14ac:dyDescent="0.15">
      <c r="A9" s="883"/>
      <c r="B9" s="1290"/>
      <c r="C9" s="1277"/>
      <c r="D9" s="354" t="s">
        <v>62</v>
      </c>
      <c r="E9" s="355" t="s">
        <v>63</v>
      </c>
      <c r="F9" s="356" t="s">
        <v>62</v>
      </c>
      <c r="G9" s="355" t="s">
        <v>63</v>
      </c>
      <c r="H9" s="356" t="s">
        <v>62</v>
      </c>
      <c r="I9" s="355" t="s">
        <v>63</v>
      </c>
      <c r="J9" s="356" t="s">
        <v>62</v>
      </c>
      <c r="K9" s="356" t="s">
        <v>63</v>
      </c>
      <c r="L9" s="356" t="s">
        <v>62</v>
      </c>
      <c r="M9" s="355" t="s">
        <v>63</v>
      </c>
      <c r="N9" s="356" t="s">
        <v>62</v>
      </c>
      <c r="O9" s="355" t="s">
        <v>63</v>
      </c>
      <c r="P9" s="356" t="s">
        <v>62</v>
      </c>
      <c r="Q9" s="356" t="s">
        <v>63</v>
      </c>
      <c r="R9" s="1297"/>
      <c r="S9" s="357"/>
      <c r="T9" s="357"/>
      <c r="U9" s="357"/>
      <c r="V9" s="357"/>
    </row>
    <row r="10" spans="1:22" s="275" customFormat="1" ht="15" customHeight="1" x14ac:dyDescent="0.2">
      <c r="A10" s="883"/>
      <c r="B10" s="981">
        <v>1</v>
      </c>
      <c r="C10" s="879" t="s">
        <v>1042</v>
      </c>
      <c r="D10" s="849">
        <v>4645</v>
      </c>
      <c r="E10" s="849"/>
      <c r="F10" s="850">
        <v>1104</v>
      </c>
      <c r="G10" s="849"/>
      <c r="H10" s="851">
        <f>4168+6900</f>
        <v>11068</v>
      </c>
      <c r="I10" s="849"/>
      <c r="J10" s="850"/>
      <c r="K10" s="852"/>
      <c r="L10" s="850"/>
      <c r="M10" s="853"/>
      <c r="N10" s="849"/>
      <c r="O10" s="849"/>
      <c r="P10" s="850"/>
      <c r="Q10" s="849"/>
      <c r="R10" s="854">
        <f>SUM(D10:Q10)</f>
        <v>16817</v>
      </c>
      <c r="S10" s="776"/>
      <c r="T10" s="777"/>
      <c r="U10" s="357"/>
      <c r="V10" s="357"/>
    </row>
    <row r="11" spans="1:22" s="275" customFormat="1" ht="23.25" customHeight="1" x14ac:dyDescent="0.2">
      <c r="A11" s="883"/>
      <c r="B11" s="981">
        <f>B10+1</f>
        <v>2</v>
      </c>
      <c r="C11" s="879" t="s">
        <v>1041</v>
      </c>
      <c r="D11" s="849">
        <v>4098</v>
      </c>
      <c r="E11" s="849"/>
      <c r="F11" s="850">
        <v>902</v>
      </c>
      <c r="G11" s="849"/>
      <c r="H11" s="851">
        <v>15640</v>
      </c>
      <c r="I11" s="849"/>
      <c r="J11" s="850"/>
      <c r="K11" s="852"/>
      <c r="L11" s="850"/>
      <c r="M11" s="1058"/>
      <c r="N11" s="849"/>
      <c r="O11" s="849"/>
      <c r="P11" s="850"/>
      <c r="Q11" s="849"/>
      <c r="R11" s="854">
        <f>SUM(D11:Q11)</f>
        <v>20640</v>
      </c>
      <c r="S11" s="776"/>
      <c r="T11" s="777"/>
      <c r="U11" s="357"/>
      <c r="V11" s="357"/>
    </row>
    <row r="12" spans="1:22" s="351" customFormat="1" ht="13.5" customHeight="1" x14ac:dyDescent="0.2">
      <c r="A12" s="884"/>
      <c r="B12" s="981">
        <f t="shared" ref="B12:B59" si="0">B11+1</f>
        <v>3</v>
      </c>
      <c r="C12" s="980" t="s">
        <v>1059</v>
      </c>
      <c r="D12" s="855"/>
      <c r="E12" s="856"/>
      <c r="F12" s="857"/>
      <c r="G12" s="856"/>
      <c r="H12" s="858"/>
      <c r="I12" s="842">
        <v>5000</v>
      </c>
      <c r="J12" s="858"/>
      <c r="K12" s="859"/>
      <c r="L12" s="857"/>
      <c r="M12" s="860"/>
      <c r="N12" s="856"/>
      <c r="O12" s="856"/>
      <c r="P12" s="857"/>
      <c r="Q12" s="856"/>
      <c r="R12" s="854">
        <f t="shared" ref="R12:R59" si="1">SUM(D12:Q12)</f>
        <v>5000</v>
      </c>
      <c r="S12" s="116"/>
      <c r="T12" s="352"/>
      <c r="U12" s="352"/>
      <c r="V12" s="352"/>
    </row>
    <row r="13" spans="1:22" s="351" customFormat="1" ht="17.25" customHeight="1" x14ac:dyDescent="0.2">
      <c r="A13" s="884"/>
      <c r="B13" s="981">
        <f t="shared" si="0"/>
        <v>4</v>
      </c>
      <c r="C13" s="848" t="s">
        <v>1040</v>
      </c>
      <c r="D13" s="855"/>
      <c r="E13" s="856"/>
      <c r="F13" s="857"/>
      <c r="G13" s="856"/>
      <c r="H13" s="858">
        <v>1969</v>
      </c>
      <c r="I13" s="289"/>
      <c r="J13" s="858"/>
      <c r="K13" s="859"/>
      <c r="L13" s="857"/>
      <c r="M13" s="860"/>
      <c r="N13" s="856"/>
      <c r="O13" s="856"/>
      <c r="P13" s="857"/>
      <c r="Q13" s="856"/>
      <c r="R13" s="854">
        <f t="shared" si="1"/>
        <v>1969</v>
      </c>
      <c r="S13" s="776"/>
      <c r="T13" s="777"/>
      <c r="U13" s="352"/>
      <c r="V13" s="352"/>
    </row>
    <row r="14" spans="1:22" s="351" customFormat="1" ht="16.5" customHeight="1" x14ac:dyDescent="0.2">
      <c r="A14" s="884"/>
      <c r="B14" s="981">
        <f t="shared" si="0"/>
        <v>5</v>
      </c>
      <c r="C14" s="848" t="s">
        <v>1063</v>
      </c>
      <c r="D14" s="855"/>
      <c r="E14" s="856"/>
      <c r="F14" s="857"/>
      <c r="G14" s="856"/>
      <c r="H14" s="858"/>
      <c r="I14" s="842"/>
      <c r="J14" s="858"/>
      <c r="K14" s="859"/>
      <c r="L14" s="857"/>
      <c r="M14" s="860"/>
      <c r="N14" s="856"/>
      <c r="O14" s="856"/>
      <c r="P14" s="857"/>
      <c r="Q14" s="861">
        <f>'ellátottak önk.'!F13</f>
        <v>850</v>
      </c>
      <c r="R14" s="854">
        <f t="shared" si="1"/>
        <v>850</v>
      </c>
      <c r="S14" s="352"/>
      <c r="T14" s="352"/>
      <c r="U14" s="352"/>
      <c r="V14" s="352"/>
    </row>
    <row r="15" spans="1:22" s="351" customFormat="1" ht="16.5" customHeight="1" x14ac:dyDescent="0.2">
      <c r="A15" s="884"/>
      <c r="B15" s="981">
        <f t="shared" si="0"/>
        <v>6</v>
      </c>
      <c r="C15" s="848" t="s">
        <v>1030</v>
      </c>
      <c r="D15" s="855"/>
      <c r="E15" s="856"/>
      <c r="F15" s="857"/>
      <c r="G15" s="856"/>
      <c r="H15" s="858"/>
      <c r="I15" s="842"/>
      <c r="J15" s="858"/>
      <c r="K15" s="859"/>
      <c r="L15" s="857"/>
      <c r="M15" s="860"/>
      <c r="N15" s="856"/>
      <c r="O15" s="856"/>
      <c r="P15" s="857"/>
      <c r="Q15" s="861">
        <v>600</v>
      </c>
      <c r="R15" s="854">
        <f t="shared" ref="R15:R25" si="2">SUM(D15:Q15)</f>
        <v>600</v>
      </c>
      <c r="S15" s="352"/>
      <c r="T15" s="352"/>
      <c r="U15" s="352"/>
      <c r="V15" s="352"/>
    </row>
    <row r="16" spans="1:22" s="351" customFormat="1" ht="16.5" customHeight="1" x14ac:dyDescent="0.2">
      <c r="A16" s="884"/>
      <c r="B16" s="981">
        <f t="shared" si="0"/>
        <v>7</v>
      </c>
      <c r="C16" s="848" t="s">
        <v>1031</v>
      </c>
      <c r="D16" s="855"/>
      <c r="E16" s="856"/>
      <c r="F16" s="857"/>
      <c r="G16" s="856"/>
      <c r="H16" s="858"/>
      <c r="I16" s="842"/>
      <c r="J16" s="858"/>
      <c r="K16" s="859"/>
      <c r="L16" s="857"/>
      <c r="M16" s="860"/>
      <c r="N16" s="856"/>
      <c r="O16" s="856"/>
      <c r="P16" s="857"/>
      <c r="Q16" s="861">
        <v>800</v>
      </c>
      <c r="R16" s="854">
        <f t="shared" si="2"/>
        <v>800</v>
      </c>
      <c r="S16" s="352"/>
      <c r="T16" s="352"/>
      <c r="U16" s="352"/>
      <c r="V16" s="352"/>
    </row>
    <row r="17" spans="1:22" s="351" customFormat="1" ht="15.75" customHeight="1" x14ac:dyDescent="0.2">
      <c r="A17" s="884"/>
      <c r="B17" s="981">
        <f t="shared" si="0"/>
        <v>8</v>
      </c>
      <c r="C17" s="848" t="s">
        <v>1032</v>
      </c>
      <c r="D17" s="855"/>
      <c r="E17" s="856"/>
      <c r="F17" s="857"/>
      <c r="G17" s="856"/>
      <c r="H17" s="858"/>
      <c r="I17" s="842"/>
      <c r="J17" s="858"/>
      <c r="K17" s="859"/>
      <c r="L17" s="857"/>
      <c r="M17" s="860"/>
      <c r="N17" s="856"/>
      <c r="O17" s="856"/>
      <c r="P17" s="857"/>
      <c r="Q17" s="861">
        <v>1000</v>
      </c>
      <c r="R17" s="854">
        <f t="shared" si="2"/>
        <v>1000</v>
      </c>
      <c r="S17" s="352"/>
      <c r="T17" s="352"/>
      <c r="U17" s="352"/>
      <c r="V17" s="352"/>
    </row>
    <row r="18" spans="1:22" s="351" customFormat="1" ht="13.5" customHeight="1" x14ac:dyDescent="0.2">
      <c r="A18" s="884"/>
      <c r="B18" s="981">
        <f t="shared" si="0"/>
        <v>9</v>
      </c>
      <c r="C18" s="848" t="s">
        <v>1066</v>
      </c>
      <c r="D18" s="855"/>
      <c r="E18" s="856"/>
      <c r="F18" s="857"/>
      <c r="G18" s="856"/>
      <c r="H18" s="858"/>
      <c r="I18" s="842"/>
      <c r="J18" s="858"/>
      <c r="K18" s="859"/>
      <c r="L18" s="857"/>
      <c r="M18" s="860"/>
      <c r="N18" s="856"/>
      <c r="O18" s="856"/>
      <c r="P18" s="857"/>
      <c r="Q18" s="861">
        <v>600</v>
      </c>
      <c r="R18" s="854">
        <f t="shared" si="2"/>
        <v>600</v>
      </c>
      <c r="S18" s="352"/>
      <c r="T18" s="352"/>
      <c r="U18" s="352"/>
      <c r="V18" s="352"/>
    </row>
    <row r="19" spans="1:22" s="351" customFormat="1" ht="13.5" customHeight="1" x14ac:dyDescent="0.2">
      <c r="A19" s="884"/>
      <c r="B19" s="981">
        <f t="shared" si="0"/>
        <v>10</v>
      </c>
      <c r="C19" s="848" t="s">
        <v>1034</v>
      </c>
      <c r="D19" s="855"/>
      <c r="E19" s="856"/>
      <c r="F19" s="857"/>
      <c r="G19" s="856"/>
      <c r="H19" s="858"/>
      <c r="I19" s="842"/>
      <c r="J19" s="858"/>
      <c r="K19" s="859"/>
      <c r="L19" s="857"/>
      <c r="M19" s="860"/>
      <c r="N19" s="856"/>
      <c r="O19" s="856"/>
      <c r="P19" s="857"/>
      <c r="Q19" s="861">
        <v>2300</v>
      </c>
      <c r="R19" s="854">
        <f t="shared" si="2"/>
        <v>2300</v>
      </c>
      <c r="S19" s="352"/>
      <c r="T19" s="352"/>
      <c r="U19" s="352"/>
      <c r="V19" s="352"/>
    </row>
    <row r="20" spans="1:22" s="351" customFormat="1" ht="12" customHeight="1" x14ac:dyDescent="0.2">
      <c r="A20" s="884"/>
      <c r="B20" s="981">
        <f t="shared" si="0"/>
        <v>11</v>
      </c>
      <c r="C20" s="848" t="s">
        <v>1045</v>
      </c>
      <c r="D20" s="855"/>
      <c r="E20" s="856"/>
      <c r="F20" s="857"/>
      <c r="G20" s="856"/>
      <c r="H20" s="858"/>
      <c r="I20" s="842"/>
      <c r="J20" s="858"/>
      <c r="K20" s="859"/>
      <c r="L20" s="857"/>
      <c r="M20" s="860"/>
      <c r="N20" s="856"/>
      <c r="O20" s="856"/>
      <c r="P20" s="857"/>
      <c r="Q20" s="861">
        <f>'ellátottak önk.'!F22</f>
        <v>1100</v>
      </c>
      <c r="R20" s="854">
        <f t="shared" si="2"/>
        <v>1100</v>
      </c>
      <c r="S20" s="352"/>
      <c r="T20" s="352"/>
      <c r="U20" s="352"/>
      <c r="V20" s="352"/>
    </row>
    <row r="21" spans="1:22" s="351" customFormat="1" ht="15" customHeight="1" x14ac:dyDescent="0.2">
      <c r="A21" s="884"/>
      <c r="B21" s="981">
        <f t="shared" si="0"/>
        <v>12</v>
      </c>
      <c r="C21" s="848" t="s">
        <v>1046</v>
      </c>
      <c r="D21" s="855"/>
      <c r="E21" s="856"/>
      <c r="F21" s="857"/>
      <c r="G21" s="856"/>
      <c r="H21" s="858"/>
      <c r="I21" s="842"/>
      <c r="J21" s="858"/>
      <c r="K21" s="859"/>
      <c r="L21" s="857"/>
      <c r="M21" s="860"/>
      <c r="N21" s="856"/>
      <c r="O21" s="856"/>
      <c r="P21" s="857"/>
      <c r="Q21" s="861">
        <f>'ellátottak önk.'!F21</f>
        <v>1800</v>
      </c>
      <c r="R21" s="854">
        <f t="shared" si="2"/>
        <v>1800</v>
      </c>
      <c r="S21" s="352"/>
      <c r="T21" s="352"/>
      <c r="U21" s="352"/>
      <c r="V21" s="352"/>
    </row>
    <row r="22" spans="1:22" s="351" customFormat="1" ht="13.5" customHeight="1" x14ac:dyDescent="0.2">
      <c r="A22" s="884"/>
      <c r="B22" s="981">
        <f t="shared" si="0"/>
        <v>13</v>
      </c>
      <c r="C22" s="848" t="s">
        <v>1064</v>
      </c>
      <c r="D22" s="855"/>
      <c r="E22" s="856"/>
      <c r="F22" s="857"/>
      <c r="G22" s="856"/>
      <c r="H22" s="858"/>
      <c r="I22" s="842"/>
      <c r="J22" s="858"/>
      <c r="K22" s="859"/>
      <c r="L22" s="857"/>
      <c r="M22" s="860"/>
      <c r="N22" s="856"/>
      <c r="O22" s="856"/>
      <c r="P22" s="857"/>
      <c r="Q22" s="861">
        <f>'ellátottak önk.'!F20</f>
        <v>500</v>
      </c>
      <c r="R22" s="854">
        <f t="shared" si="2"/>
        <v>500</v>
      </c>
      <c r="S22" s="352"/>
      <c r="T22" s="352"/>
      <c r="U22" s="352"/>
      <c r="V22" s="352"/>
    </row>
    <row r="23" spans="1:22" s="351" customFormat="1" ht="13.5" customHeight="1" x14ac:dyDescent="0.2">
      <c r="A23" s="884"/>
      <c r="B23" s="981">
        <f t="shared" si="0"/>
        <v>14</v>
      </c>
      <c r="C23" s="848" t="s">
        <v>1067</v>
      </c>
      <c r="D23" s="855"/>
      <c r="E23" s="856"/>
      <c r="F23" s="857"/>
      <c r="G23" s="856"/>
      <c r="H23" s="858"/>
      <c r="I23" s="842"/>
      <c r="J23" s="858"/>
      <c r="K23" s="859"/>
      <c r="L23" s="857"/>
      <c r="M23" s="860"/>
      <c r="N23" s="856"/>
      <c r="O23" s="856"/>
      <c r="P23" s="857"/>
      <c r="Q23" s="861">
        <f>'ellátottak önk.'!F30</f>
        <v>4200</v>
      </c>
      <c r="R23" s="854">
        <f t="shared" si="2"/>
        <v>4200</v>
      </c>
      <c r="S23" s="352"/>
      <c r="T23" s="352"/>
      <c r="U23" s="352"/>
      <c r="V23" s="352"/>
    </row>
    <row r="24" spans="1:22" s="351" customFormat="1" ht="12.75" customHeight="1" x14ac:dyDescent="0.2">
      <c r="A24" s="884"/>
      <c r="B24" s="981">
        <f t="shared" si="0"/>
        <v>15</v>
      </c>
      <c r="C24" s="848" t="s">
        <v>595</v>
      </c>
      <c r="D24" s="855"/>
      <c r="E24" s="856"/>
      <c r="F24" s="857"/>
      <c r="G24" s="856"/>
      <c r="H24" s="858"/>
      <c r="I24" s="842">
        <v>400</v>
      </c>
      <c r="J24" s="858"/>
      <c r="K24" s="859"/>
      <c r="L24" s="857"/>
      <c r="M24" s="860"/>
      <c r="N24" s="856"/>
      <c r="O24" s="856"/>
      <c r="P24" s="862">
        <f>'ellátottak önk.'!E26</f>
        <v>0</v>
      </c>
      <c r="Q24" s="861">
        <f>'ellátottak önk.'!F26</f>
        <v>0</v>
      </c>
      <c r="R24" s="854">
        <f t="shared" si="2"/>
        <v>400</v>
      </c>
      <c r="S24" s="775"/>
      <c r="T24" s="352"/>
      <c r="U24" s="352"/>
      <c r="V24" s="352"/>
    </row>
    <row r="25" spans="1:22" s="351" customFormat="1" ht="14.25" customHeight="1" x14ac:dyDescent="0.2">
      <c r="A25" s="884"/>
      <c r="B25" s="981">
        <f t="shared" si="0"/>
        <v>16</v>
      </c>
      <c r="C25" s="848" t="s">
        <v>1065</v>
      </c>
      <c r="D25" s="855"/>
      <c r="E25" s="856"/>
      <c r="F25" s="857"/>
      <c r="G25" s="856"/>
      <c r="H25" s="858">
        <v>500</v>
      </c>
      <c r="I25" s="842">
        <v>933</v>
      </c>
      <c r="J25" s="858"/>
      <c r="K25" s="859"/>
      <c r="L25" s="857"/>
      <c r="M25" s="860"/>
      <c r="N25" s="856"/>
      <c r="O25" s="856"/>
      <c r="P25" s="862">
        <f>'ellátottak önk.'!E27</f>
        <v>0</v>
      </c>
      <c r="Q25" s="861">
        <v>0</v>
      </c>
      <c r="R25" s="854">
        <f t="shared" si="2"/>
        <v>1433</v>
      </c>
      <c r="S25" s="775"/>
      <c r="T25" s="352"/>
      <c r="U25" s="352"/>
      <c r="V25" s="352"/>
    </row>
    <row r="26" spans="1:22" s="351" customFormat="1" ht="15" customHeight="1" x14ac:dyDescent="0.2">
      <c r="A26" s="884"/>
      <c r="B26" s="981">
        <f t="shared" si="0"/>
        <v>17</v>
      </c>
      <c r="C26" s="81" t="s">
        <v>1048</v>
      </c>
      <c r="D26" s="516"/>
      <c r="E26" s="289"/>
      <c r="F26" s="514"/>
      <c r="G26" s="289"/>
      <c r="H26" s="514"/>
      <c r="I26" s="289">
        <v>20</v>
      </c>
      <c r="J26" s="514"/>
      <c r="K26" s="863"/>
      <c r="L26" s="514"/>
      <c r="M26" s="484"/>
      <c r="N26" s="289"/>
      <c r="O26" s="289"/>
      <c r="P26" s="514"/>
      <c r="Q26" s="289"/>
      <c r="R26" s="864">
        <f t="shared" si="1"/>
        <v>20</v>
      </c>
      <c r="S26" s="116"/>
      <c r="T26" s="352"/>
      <c r="U26" s="352"/>
      <c r="V26" s="352"/>
    </row>
    <row r="27" spans="1:22" s="351" customFormat="1" ht="15" customHeight="1" x14ac:dyDescent="0.2">
      <c r="A27" s="884"/>
      <c r="B27" s="981">
        <f t="shared" si="0"/>
        <v>18</v>
      </c>
      <c r="C27" s="81" t="s">
        <v>1047</v>
      </c>
      <c r="D27" s="516"/>
      <c r="E27" s="289"/>
      <c r="F27" s="514"/>
      <c r="G27" s="289"/>
      <c r="H27" s="514"/>
      <c r="I27" s="289">
        <v>120</v>
      </c>
      <c r="J27" s="514"/>
      <c r="K27" s="863"/>
      <c r="L27" s="514"/>
      <c r="M27" s="484"/>
      <c r="N27" s="289"/>
      <c r="O27" s="289"/>
      <c r="P27" s="514"/>
      <c r="Q27" s="289"/>
      <c r="R27" s="864">
        <f t="shared" si="1"/>
        <v>120</v>
      </c>
      <c r="S27" s="352"/>
      <c r="T27" s="352"/>
      <c r="U27" s="352"/>
      <c r="V27" s="352"/>
    </row>
    <row r="28" spans="1:22" s="351" customFormat="1" ht="15" customHeight="1" x14ac:dyDescent="0.2">
      <c r="A28" s="884"/>
      <c r="B28" s="981">
        <f t="shared" si="0"/>
        <v>19</v>
      </c>
      <c r="C28" s="81" t="s">
        <v>1068</v>
      </c>
      <c r="D28" s="516"/>
      <c r="E28" s="289"/>
      <c r="F28" s="514"/>
      <c r="G28" s="289"/>
      <c r="H28" s="514">
        <v>6431</v>
      </c>
      <c r="I28" s="289">
        <v>7330</v>
      </c>
      <c r="J28" s="514"/>
      <c r="K28" s="863"/>
      <c r="L28" s="514"/>
      <c r="M28" s="484"/>
      <c r="N28" s="289"/>
      <c r="O28" s="289"/>
      <c r="P28" s="514"/>
      <c r="Q28" s="289"/>
      <c r="R28" s="864">
        <f>SUM(D28:Q28)</f>
        <v>13761</v>
      </c>
      <c r="S28" s="352"/>
      <c r="T28" s="352"/>
      <c r="U28" s="352"/>
      <c r="V28" s="352"/>
    </row>
    <row r="29" spans="1:22" s="351" customFormat="1" ht="15" customHeight="1" x14ac:dyDescent="0.2">
      <c r="A29" s="884"/>
      <c r="B29" s="981">
        <f t="shared" si="0"/>
        <v>20</v>
      </c>
      <c r="C29" s="81" t="s">
        <v>1074</v>
      </c>
      <c r="D29" s="516"/>
      <c r="E29" s="289"/>
      <c r="F29" s="514"/>
      <c r="G29" s="289"/>
      <c r="H29" s="514"/>
      <c r="I29" s="289">
        <v>1390</v>
      </c>
      <c r="J29" s="514"/>
      <c r="K29" s="863"/>
      <c r="L29" s="514"/>
      <c r="M29" s="484"/>
      <c r="N29" s="289"/>
      <c r="O29" s="289"/>
      <c r="P29" s="514"/>
      <c r="Q29" s="289"/>
      <c r="R29" s="864">
        <f t="shared" si="1"/>
        <v>1390</v>
      </c>
      <c r="S29" s="352"/>
      <c r="T29" s="352"/>
      <c r="U29" s="359"/>
      <c r="V29" s="352"/>
    </row>
    <row r="30" spans="1:22" s="351" customFormat="1" ht="15" customHeight="1" x14ac:dyDescent="0.2">
      <c r="A30" s="884"/>
      <c r="B30" s="981">
        <f t="shared" si="0"/>
        <v>21</v>
      </c>
      <c r="C30" s="81" t="s">
        <v>1049</v>
      </c>
      <c r="D30" s="516"/>
      <c r="E30" s="289"/>
      <c r="F30" s="514"/>
      <c r="G30" s="289"/>
      <c r="H30" s="514">
        <v>288</v>
      </c>
      <c r="I30" s="289">
        <v>13763</v>
      </c>
      <c r="J30" s="514"/>
      <c r="K30" s="863"/>
      <c r="L30" s="514"/>
      <c r="M30" s="484"/>
      <c r="N30" s="289"/>
      <c r="O30" s="289"/>
      <c r="P30" s="514"/>
      <c r="Q30" s="289"/>
      <c r="R30" s="864">
        <f t="shared" si="1"/>
        <v>14051</v>
      </c>
      <c r="S30" s="352"/>
      <c r="T30" s="352"/>
      <c r="U30" s="352"/>
      <c r="V30" s="352"/>
    </row>
    <row r="31" spans="1:22" s="351" customFormat="1" ht="15" customHeight="1" x14ac:dyDescent="0.2">
      <c r="A31" s="884"/>
      <c r="B31" s="981">
        <f t="shared" si="0"/>
        <v>22</v>
      </c>
      <c r="C31" s="81" t="s">
        <v>1050</v>
      </c>
      <c r="D31" s="516">
        <v>38037</v>
      </c>
      <c r="E31" s="289"/>
      <c r="F31" s="514">
        <v>11893</v>
      </c>
      <c r="G31" s="289"/>
      <c r="H31" s="514">
        <v>1220</v>
      </c>
      <c r="I31" s="289"/>
      <c r="J31" s="514"/>
      <c r="K31" s="863"/>
      <c r="L31" s="514"/>
      <c r="M31" s="484"/>
      <c r="N31" s="289"/>
      <c r="O31" s="289"/>
      <c r="P31" s="514"/>
      <c r="Q31" s="289"/>
      <c r="R31" s="864">
        <f>SUM(D31:Q31)</f>
        <v>51150</v>
      </c>
      <c r="S31" s="116"/>
      <c r="T31" s="352"/>
      <c r="U31" s="352"/>
      <c r="V31" s="352"/>
    </row>
    <row r="32" spans="1:22" s="351" customFormat="1" ht="15" customHeight="1" x14ac:dyDescent="0.2">
      <c r="A32" s="884"/>
      <c r="B32" s="981">
        <f t="shared" si="0"/>
        <v>23</v>
      </c>
      <c r="C32" s="81" t="s">
        <v>1057</v>
      </c>
      <c r="D32" s="516">
        <v>26</v>
      </c>
      <c r="E32" s="289"/>
      <c r="F32" s="514">
        <v>22</v>
      </c>
      <c r="G32" s="289"/>
      <c r="H32" s="514">
        <v>3313</v>
      </c>
      <c r="I32" s="289"/>
      <c r="J32" s="514"/>
      <c r="K32" s="863"/>
      <c r="L32" s="514"/>
      <c r="M32" s="484"/>
      <c r="N32" s="289"/>
      <c r="O32" s="289"/>
      <c r="P32" s="514"/>
      <c r="Q32" s="289"/>
      <c r="R32" s="864">
        <f t="shared" si="1"/>
        <v>3361</v>
      </c>
      <c r="S32" s="352"/>
      <c r="T32" s="552"/>
      <c r="U32" s="352"/>
      <c r="V32" s="352"/>
    </row>
    <row r="33" spans="1:22" s="600" customFormat="1" ht="15" customHeight="1" x14ac:dyDescent="0.2">
      <c r="A33" s="885"/>
      <c r="B33" s="981">
        <f t="shared" si="0"/>
        <v>24</v>
      </c>
      <c r="C33" s="865" t="s">
        <v>1054</v>
      </c>
      <c r="D33" s="866"/>
      <c r="E33" s="517">
        <f>2200+1000</f>
        <v>3200</v>
      </c>
      <c r="F33" s="515"/>
      <c r="G33" s="517">
        <f>600+200</f>
        <v>800</v>
      </c>
      <c r="H33" s="515"/>
      <c r="I33" s="517">
        <f>9272+2000</f>
        <v>11272</v>
      </c>
      <c r="J33" s="515"/>
      <c r="K33" s="867"/>
      <c r="L33" s="515"/>
      <c r="M33" s="868"/>
      <c r="N33" s="517"/>
      <c r="O33" s="517"/>
      <c r="P33" s="515"/>
      <c r="Q33" s="517"/>
      <c r="R33" s="869">
        <f t="shared" si="1"/>
        <v>15272</v>
      </c>
      <c r="S33" s="598"/>
      <c r="T33" s="599"/>
      <c r="U33" s="599"/>
      <c r="V33" s="599"/>
    </row>
    <row r="34" spans="1:22" s="351" customFormat="1" ht="15" customHeight="1" x14ac:dyDescent="0.2">
      <c r="A34" s="884"/>
      <c r="B34" s="981">
        <f t="shared" si="0"/>
        <v>25</v>
      </c>
      <c r="C34" s="81" t="s">
        <v>1060</v>
      </c>
      <c r="D34" s="516"/>
      <c r="E34" s="484"/>
      <c r="F34" s="289"/>
      <c r="G34" s="289"/>
      <c r="H34" s="514">
        <f>20530-5939</f>
        <v>14591</v>
      </c>
      <c r="I34" s="289"/>
      <c r="J34" s="514"/>
      <c r="K34" s="863"/>
      <c r="L34" s="514"/>
      <c r="M34" s="484"/>
      <c r="N34" s="289"/>
      <c r="O34" s="289"/>
      <c r="P34" s="514"/>
      <c r="Q34" s="289"/>
      <c r="R34" s="864">
        <f t="shared" ref="R34:R40" si="3">SUM(D34:Q34)</f>
        <v>14591</v>
      </c>
      <c r="S34" s="576"/>
      <c r="T34" s="352"/>
      <c r="U34" s="352"/>
      <c r="V34" s="352"/>
    </row>
    <row r="35" spans="1:22" s="351" customFormat="1" ht="15" customHeight="1" x14ac:dyDescent="0.2">
      <c r="A35" s="884"/>
      <c r="B35" s="981">
        <f t="shared" si="0"/>
        <v>26</v>
      </c>
      <c r="C35" s="81" t="s">
        <v>1087</v>
      </c>
      <c r="D35" s="516"/>
      <c r="E35" s="289"/>
      <c r="F35" s="514"/>
      <c r="G35" s="289"/>
      <c r="H35" s="514"/>
      <c r="I35" s="289"/>
      <c r="J35" s="514"/>
      <c r="K35" s="863"/>
      <c r="L35" s="514"/>
      <c r="M35" s="484"/>
      <c r="N35" s="289"/>
      <c r="O35" s="289"/>
      <c r="P35" s="514"/>
      <c r="Q35" s="289"/>
      <c r="R35" s="864">
        <v>0</v>
      </c>
      <c r="S35" s="576"/>
      <c r="T35" s="352"/>
      <c r="U35" s="352"/>
      <c r="V35" s="352"/>
    </row>
    <row r="36" spans="1:22" s="351" customFormat="1" ht="15" customHeight="1" x14ac:dyDescent="0.2">
      <c r="A36" s="884"/>
      <c r="B36" s="981">
        <f t="shared" si="0"/>
        <v>27</v>
      </c>
      <c r="C36" s="81" t="s">
        <v>1088</v>
      </c>
      <c r="D36" s="516"/>
      <c r="E36" s="289"/>
      <c r="F36" s="514"/>
      <c r="G36" s="289"/>
      <c r="H36" s="514"/>
      <c r="I36" s="289"/>
      <c r="J36" s="514"/>
      <c r="K36" s="863"/>
      <c r="L36" s="514"/>
      <c r="M36" s="484"/>
      <c r="N36" s="289"/>
      <c r="O36" s="289"/>
      <c r="P36" s="514"/>
      <c r="Q36" s="289"/>
      <c r="R36" s="864">
        <v>0</v>
      </c>
      <c r="S36" s="576"/>
      <c r="T36" s="352"/>
      <c r="U36" s="352"/>
      <c r="V36" s="352"/>
    </row>
    <row r="37" spans="1:22" s="351" customFormat="1" ht="15" customHeight="1" x14ac:dyDescent="0.2">
      <c r="A37" s="884"/>
      <c r="B37" s="981">
        <f t="shared" si="0"/>
        <v>28</v>
      </c>
      <c r="C37" s="81" t="s">
        <v>1056</v>
      </c>
      <c r="D37" s="516"/>
      <c r="E37" s="289"/>
      <c r="F37" s="514"/>
      <c r="G37" s="289"/>
      <c r="H37" s="514">
        <v>6833</v>
      </c>
      <c r="I37" s="289"/>
      <c r="J37" s="514"/>
      <c r="K37" s="863"/>
      <c r="L37" s="514"/>
      <c r="M37" s="484"/>
      <c r="N37" s="289"/>
      <c r="O37" s="289"/>
      <c r="P37" s="514"/>
      <c r="Q37" s="289"/>
      <c r="R37" s="864">
        <f t="shared" si="3"/>
        <v>6833</v>
      </c>
      <c r="S37" s="576"/>
      <c r="T37" s="352"/>
      <c r="U37" s="352"/>
      <c r="V37" s="352"/>
    </row>
    <row r="38" spans="1:22" s="351" customFormat="1" ht="15" customHeight="1" x14ac:dyDescent="0.2">
      <c r="A38" s="884"/>
      <c r="B38" s="981">
        <f t="shared" si="0"/>
        <v>29</v>
      </c>
      <c r="C38" s="81" t="s">
        <v>1061</v>
      </c>
      <c r="D38" s="516"/>
      <c r="E38" s="289"/>
      <c r="F38" s="514"/>
      <c r="G38" s="289"/>
      <c r="H38" s="514">
        <f>55738+2334-250</f>
        <v>57822</v>
      </c>
      <c r="I38" s="289"/>
      <c r="J38" s="514"/>
      <c r="K38" s="863"/>
      <c r="L38" s="514"/>
      <c r="M38" s="484"/>
      <c r="N38" s="289"/>
      <c r="O38" s="289"/>
      <c r="P38" s="514"/>
      <c r="Q38" s="289"/>
      <c r="R38" s="864">
        <f t="shared" si="3"/>
        <v>57822</v>
      </c>
      <c r="S38" s="576"/>
      <c r="T38" s="352"/>
      <c r="U38" s="352"/>
      <c r="V38" s="352"/>
    </row>
    <row r="39" spans="1:22" s="351" customFormat="1" ht="24" customHeight="1" x14ac:dyDescent="0.2">
      <c r="A39" s="884"/>
      <c r="B39" s="981">
        <f t="shared" si="0"/>
        <v>30</v>
      </c>
      <c r="C39" s="848" t="s">
        <v>1193</v>
      </c>
      <c r="D39" s="1062"/>
      <c r="E39" s="1063"/>
      <c r="F39" s="1064"/>
      <c r="G39" s="1063"/>
      <c r="H39" s="1064">
        <v>5000</v>
      </c>
      <c r="I39" s="1063"/>
      <c r="J39" s="1064"/>
      <c r="K39" s="1065"/>
      <c r="L39" s="1064"/>
      <c r="M39" s="1066"/>
      <c r="N39" s="1063"/>
      <c r="O39" s="1063"/>
      <c r="P39" s="1064"/>
      <c r="Q39" s="1063"/>
      <c r="R39" s="1122">
        <f t="shared" si="3"/>
        <v>5000</v>
      </c>
      <c r="S39" s="576"/>
      <c r="T39" s="352"/>
      <c r="U39" s="352"/>
      <c r="V39" s="352"/>
    </row>
    <row r="40" spans="1:22" s="351" customFormat="1" ht="24" customHeight="1" x14ac:dyDescent="0.2">
      <c r="A40" s="884"/>
      <c r="B40" s="981">
        <f t="shared" si="0"/>
        <v>31</v>
      </c>
      <c r="C40" s="870" t="s">
        <v>1194</v>
      </c>
      <c r="D40" s="878"/>
      <c r="E40" s="842"/>
      <c r="F40" s="871"/>
      <c r="G40" s="842"/>
      <c r="H40" s="871">
        <v>63500</v>
      </c>
      <c r="I40" s="842"/>
      <c r="J40" s="871"/>
      <c r="K40" s="872"/>
      <c r="L40" s="871"/>
      <c r="M40" s="843"/>
      <c r="N40" s="842"/>
      <c r="O40" s="842"/>
      <c r="P40" s="871"/>
      <c r="Q40" s="842"/>
      <c r="R40" s="854">
        <f t="shared" si="3"/>
        <v>63500</v>
      </c>
      <c r="S40" s="576"/>
      <c r="T40" s="352"/>
      <c r="U40" s="352"/>
      <c r="V40" s="352"/>
    </row>
    <row r="41" spans="1:22" s="351" customFormat="1" ht="15" customHeight="1" x14ac:dyDescent="0.2">
      <c r="A41" s="884"/>
      <c r="B41" s="981">
        <f t="shared" si="0"/>
        <v>32</v>
      </c>
      <c r="C41" s="81" t="s">
        <v>1055</v>
      </c>
      <c r="D41" s="516"/>
      <c r="E41" s="289"/>
      <c r="F41" s="514"/>
      <c r="G41" s="289"/>
      <c r="H41" s="514"/>
      <c r="I41" s="289">
        <v>12218</v>
      </c>
      <c r="J41" s="514"/>
      <c r="K41" s="863"/>
      <c r="L41" s="514"/>
      <c r="M41" s="484"/>
      <c r="N41" s="289"/>
      <c r="O41" s="289"/>
      <c r="P41" s="514"/>
      <c r="Q41" s="289"/>
      <c r="R41" s="864">
        <f t="shared" si="1"/>
        <v>12218</v>
      </c>
      <c r="S41" s="576"/>
      <c r="T41" s="352"/>
      <c r="U41" s="352"/>
      <c r="V41" s="352"/>
    </row>
    <row r="42" spans="1:22" s="351" customFormat="1" ht="17.25" customHeight="1" x14ac:dyDescent="0.2">
      <c r="A42" s="884"/>
      <c r="B42" s="981">
        <f t="shared" si="0"/>
        <v>33</v>
      </c>
      <c r="C42" s="870" t="s">
        <v>1062</v>
      </c>
      <c r="D42" s="516"/>
      <c r="E42" s="842">
        <f>1600+200</f>
        <v>1800</v>
      </c>
      <c r="F42" s="871"/>
      <c r="G42" s="842">
        <v>432</v>
      </c>
      <c r="H42" s="871">
        <v>350</v>
      </c>
      <c r="I42" s="842"/>
      <c r="J42" s="871"/>
      <c r="K42" s="872"/>
      <c r="L42" s="871"/>
      <c r="M42" s="843"/>
      <c r="N42" s="842"/>
      <c r="O42" s="842"/>
      <c r="P42" s="871"/>
      <c r="Q42" s="842"/>
      <c r="R42" s="854">
        <f t="shared" ref="R42:R47" si="4">SUM(D42:Q42)</f>
        <v>2582</v>
      </c>
      <c r="S42" s="576"/>
      <c r="T42" s="359"/>
      <c r="U42" s="352"/>
      <c r="V42" s="352"/>
    </row>
    <row r="43" spans="1:22" s="351" customFormat="1" ht="15" customHeight="1" x14ac:dyDescent="0.2">
      <c r="A43" s="884"/>
      <c r="B43" s="981">
        <f t="shared" si="0"/>
        <v>34</v>
      </c>
      <c r="C43" s="81" t="s">
        <v>1051</v>
      </c>
      <c r="D43" s="516"/>
      <c r="E43" s="289">
        <v>10000</v>
      </c>
      <c r="F43" s="514"/>
      <c r="G43" s="289">
        <v>5000</v>
      </c>
      <c r="H43" s="514"/>
      <c r="I43" s="289">
        <v>15216</v>
      </c>
      <c r="J43" s="514"/>
      <c r="K43" s="863"/>
      <c r="L43" s="514"/>
      <c r="M43" s="484"/>
      <c r="N43" s="289"/>
      <c r="O43" s="289"/>
      <c r="P43" s="514"/>
      <c r="Q43" s="289"/>
      <c r="R43" s="864">
        <f t="shared" si="4"/>
        <v>30216</v>
      </c>
      <c r="S43" s="576"/>
      <c r="T43" s="352"/>
      <c r="U43" s="352"/>
      <c r="V43" s="352"/>
    </row>
    <row r="44" spans="1:22" s="351" customFormat="1" ht="15" customHeight="1" x14ac:dyDescent="0.2">
      <c r="A44" s="884"/>
      <c r="B44" s="981">
        <f t="shared" si="0"/>
        <v>35</v>
      </c>
      <c r="C44" s="81" t="s">
        <v>1052</v>
      </c>
      <c r="D44" s="516"/>
      <c r="E44" s="289"/>
      <c r="F44" s="514"/>
      <c r="G44" s="289"/>
      <c r="H44" s="514"/>
      <c r="I44" s="289">
        <v>3000</v>
      </c>
      <c r="J44" s="514"/>
      <c r="K44" s="863"/>
      <c r="L44" s="514"/>
      <c r="M44" s="484"/>
      <c r="N44" s="289"/>
      <c r="O44" s="289"/>
      <c r="P44" s="514"/>
      <c r="Q44" s="289"/>
      <c r="R44" s="864">
        <f t="shared" si="4"/>
        <v>3000</v>
      </c>
      <c r="S44" s="576"/>
      <c r="T44" s="352"/>
      <c r="U44" s="352"/>
      <c r="V44" s="352"/>
    </row>
    <row r="45" spans="1:22" s="351" customFormat="1" ht="15" customHeight="1" x14ac:dyDescent="0.2">
      <c r="A45" s="884"/>
      <c r="B45" s="981">
        <f t="shared" si="0"/>
        <v>36</v>
      </c>
      <c r="C45" s="81" t="s">
        <v>1179</v>
      </c>
      <c r="D45" s="516"/>
      <c r="E45" s="289"/>
      <c r="F45" s="514"/>
      <c r="G45" s="289"/>
      <c r="H45" s="514">
        <v>140</v>
      </c>
      <c r="I45" s="289">
        <v>6607</v>
      </c>
      <c r="J45" s="514"/>
      <c r="K45" s="863"/>
      <c r="L45" s="514"/>
      <c r="M45" s="484"/>
      <c r="N45" s="289"/>
      <c r="O45" s="289"/>
      <c r="P45" s="514"/>
      <c r="Q45" s="289"/>
      <c r="R45" s="864">
        <f t="shared" si="4"/>
        <v>6747</v>
      </c>
      <c r="S45" s="576"/>
      <c r="T45" s="359"/>
      <c r="U45" s="352"/>
      <c r="V45" s="352"/>
    </row>
    <row r="46" spans="1:22" s="351" customFormat="1" ht="25.5" customHeight="1" x14ac:dyDescent="0.2">
      <c r="A46" s="884"/>
      <c r="B46" s="981">
        <f t="shared" si="0"/>
        <v>37</v>
      </c>
      <c r="C46" s="870" t="s">
        <v>1180</v>
      </c>
      <c r="D46" s="516"/>
      <c r="E46" s="289"/>
      <c r="F46" s="514"/>
      <c r="G46" s="289"/>
      <c r="H46" s="514">
        <v>10500</v>
      </c>
      <c r="I46" s="289"/>
      <c r="J46" s="514"/>
      <c r="K46" s="863"/>
      <c r="L46" s="514"/>
      <c r="M46" s="484"/>
      <c r="N46" s="289"/>
      <c r="O46" s="289"/>
      <c r="P46" s="514"/>
      <c r="Q46" s="289"/>
      <c r="R46" s="864">
        <f t="shared" si="4"/>
        <v>10500</v>
      </c>
      <c r="S46" s="576"/>
      <c r="T46" s="359"/>
      <c r="U46" s="352"/>
      <c r="V46" s="352"/>
    </row>
    <row r="47" spans="1:22" s="351" customFormat="1" ht="15" customHeight="1" x14ac:dyDescent="0.2">
      <c r="A47" s="884"/>
      <c r="B47" s="981">
        <f t="shared" si="0"/>
        <v>38</v>
      </c>
      <c r="C47" s="848" t="s">
        <v>1058</v>
      </c>
      <c r="D47" s="873">
        <v>8796</v>
      </c>
      <c r="E47" s="874">
        <v>645</v>
      </c>
      <c r="F47" s="858">
        <v>2437</v>
      </c>
      <c r="G47" s="289">
        <v>154</v>
      </c>
      <c r="H47" s="858">
        <f>15897+548</f>
        <v>16445</v>
      </c>
      <c r="I47" s="874"/>
      <c r="J47" s="858"/>
      <c r="K47" s="859"/>
      <c r="L47" s="857"/>
      <c r="M47" s="860"/>
      <c r="N47" s="856"/>
      <c r="O47" s="856"/>
      <c r="P47" s="857"/>
      <c r="Q47" s="856"/>
      <c r="R47" s="864">
        <f t="shared" si="4"/>
        <v>28477</v>
      </c>
      <c r="S47" s="576"/>
      <c r="T47" s="352"/>
      <c r="U47" s="352"/>
      <c r="V47" s="352"/>
    </row>
    <row r="48" spans="1:22" s="351" customFormat="1" ht="15" customHeight="1" x14ac:dyDescent="0.2">
      <c r="A48" s="884"/>
      <c r="B48" s="981">
        <f t="shared" si="0"/>
        <v>39</v>
      </c>
      <c r="C48" s="81" t="s">
        <v>1053</v>
      </c>
      <c r="D48" s="516"/>
      <c r="E48" s="289">
        <f>12414+50+1482+50+2000</f>
        <v>15996</v>
      </c>
      <c r="F48" s="514"/>
      <c r="G48" s="289">
        <f>E48*0.42</f>
        <v>6718.32</v>
      </c>
      <c r="H48" s="514"/>
      <c r="I48" s="289">
        <f>3153+241</f>
        <v>3394</v>
      </c>
      <c r="J48" s="514"/>
      <c r="K48" s="863"/>
      <c r="L48" s="514"/>
      <c r="M48" s="484"/>
      <c r="N48" s="289"/>
      <c r="O48" s="289"/>
      <c r="P48" s="514"/>
      <c r="Q48" s="289"/>
      <c r="R48" s="864">
        <f t="shared" si="1"/>
        <v>26108.32</v>
      </c>
      <c r="S48" s="576"/>
      <c r="T48" s="359"/>
      <c r="U48" s="352"/>
      <c r="V48" s="352"/>
    </row>
    <row r="49" spans="1:22" s="351" customFormat="1" ht="15" customHeight="1" x14ac:dyDescent="0.2">
      <c r="A49" s="884"/>
      <c r="B49" s="981">
        <f t="shared" si="0"/>
        <v>40</v>
      </c>
      <c r="C49" s="81" t="s">
        <v>1149</v>
      </c>
      <c r="D49" s="1022"/>
      <c r="E49" s="289">
        <v>1807</v>
      </c>
      <c r="F49" s="514"/>
      <c r="G49" s="484">
        <v>398</v>
      </c>
      <c r="H49" s="289"/>
      <c r="I49" s="289">
        <v>22311</v>
      </c>
      <c r="J49" s="1024"/>
      <c r="K49" s="1025"/>
      <c r="L49" s="1023"/>
      <c r="M49" s="1025"/>
      <c r="N49" s="1023"/>
      <c r="O49" s="1025"/>
      <c r="P49" s="1023"/>
      <c r="Q49" s="1023"/>
      <c r="R49" s="864">
        <f>SUM(D49:Q49)</f>
        <v>24516</v>
      </c>
      <c r="S49" s="576"/>
      <c r="T49" s="352"/>
      <c r="U49" s="352"/>
      <c r="V49" s="352"/>
    </row>
    <row r="50" spans="1:22" s="351" customFormat="1" ht="15" customHeight="1" x14ac:dyDescent="0.2">
      <c r="A50" s="884"/>
      <c r="B50" s="981">
        <f t="shared" si="0"/>
        <v>41</v>
      </c>
      <c r="C50" s="81" t="s">
        <v>1044</v>
      </c>
      <c r="D50" s="516"/>
      <c r="E50" s="484"/>
      <c r="F50" s="289"/>
      <c r="G50" s="289"/>
      <c r="H50" s="514"/>
      <c r="I50" s="289"/>
      <c r="J50" s="514">
        <f>mc.pe.átad!D21</f>
        <v>7750</v>
      </c>
      <c r="K50" s="484">
        <f>mc.pe.átad!E53</f>
        <v>40162</v>
      </c>
      <c r="L50" s="301">
        <f>mc.pe.átad!D54</f>
        <v>266185</v>
      </c>
      <c r="M50" s="484">
        <f>mc.pe.átad!E54</f>
        <v>19908</v>
      </c>
      <c r="N50" s="289"/>
      <c r="O50" s="289"/>
      <c r="P50" s="514"/>
      <c r="Q50" s="289"/>
      <c r="R50" s="864">
        <f t="shared" si="1"/>
        <v>334005</v>
      </c>
      <c r="S50" s="352"/>
      <c r="T50" s="352"/>
      <c r="U50" s="352"/>
      <c r="V50" s="352"/>
    </row>
    <row r="51" spans="1:22" s="351" customFormat="1" ht="15" customHeight="1" x14ac:dyDescent="0.2">
      <c r="A51" s="884"/>
      <c r="B51" s="981">
        <f t="shared" si="0"/>
        <v>42</v>
      </c>
      <c r="C51" s="81" t="s">
        <v>1043</v>
      </c>
      <c r="D51" s="516"/>
      <c r="E51" s="484"/>
      <c r="F51" s="289"/>
      <c r="G51" s="484"/>
      <c r="H51" s="289">
        <v>3675</v>
      </c>
      <c r="I51" s="484"/>
      <c r="J51" s="289"/>
      <c r="K51" s="484"/>
      <c r="L51" s="301"/>
      <c r="M51" s="484"/>
      <c r="N51" s="289"/>
      <c r="O51" s="484"/>
      <c r="P51" s="289"/>
      <c r="Q51" s="484"/>
      <c r="R51" s="864">
        <f t="shared" si="1"/>
        <v>3675</v>
      </c>
      <c r="S51" s="116"/>
      <c r="T51" s="352"/>
      <c r="U51" s="352"/>
      <c r="V51" s="352"/>
    </row>
    <row r="52" spans="1:22" s="351" customFormat="1" ht="15" customHeight="1" x14ac:dyDescent="0.2">
      <c r="A52" s="884"/>
      <c r="B52" s="981">
        <f t="shared" si="0"/>
        <v>43</v>
      </c>
      <c r="C52" s="877" t="s">
        <v>1069</v>
      </c>
      <c r="D52" s="878"/>
      <c r="E52" s="843"/>
      <c r="F52" s="842"/>
      <c r="G52" s="843"/>
      <c r="H52" s="842"/>
      <c r="I52" s="843">
        <f>2515+1134</f>
        <v>3649</v>
      </c>
      <c r="J52" s="842"/>
      <c r="K52" s="843"/>
      <c r="L52" s="844"/>
      <c r="M52" s="843"/>
      <c r="N52" s="842"/>
      <c r="O52" s="843"/>
      <c r="P52" s="842"/>
      <c r="Q52" s="843"/>
      <c r="R52" s="854">
        <f t="shared" si="1"/>
        <v>3649</v>
      </c>
      <c r="S52" s="116"/>
      <c r="T52" s="352"/>
      <c r="U52" s="352"/>
      <c r="V52" s="352"/>
    </row>
    <row r="53" spans="1:22" s="351" customFormat="1" ht="15" customHeight="1" x14ac:dyDescent="0.2">
      <c r="A53" s="884"/>
      <c r="B53" s="981">
        <f t="shared" si="0"/>
        <v>44</v>
      </c>
      <c r="C53" s="877" t="s">
        <v>1070</v>
      </c>
      <c r="D53" s="878"/>
      <c r="E53" s="843"/>
      <c r="F53" s="842"/>
      <c r="G53" s="843"/>
      <c r="H53" s="842"/>
      <c r="I53" s="843"/>
      <c r="J53" s="842"/>
      <c r="K53" s="843"/>
      <c r="L53" s="844"/>
      <c r="M53" s="843"/>
      <c r="N53" s="842">
        <v>367</v>
      </c>
      <c r="O53" s="843"/>
      <c r="P53" s="842"/>
      <c r="Q53" s="843"/>
      <c r="R53" s="854">
        <f t="shared" si="1"/>
        <v>367</v>
      </c>
      <c r="S53" s="116"/>
      <c r="T53" s="352"/>
      <c r="U53" s="352"/>
      <c r="V53" s="352"/>
    </row>
    <row r="54" spans="1:22" s="351" customFormat="1" ht="15" customHeight="1" x14ac:dyDescent="0.2">
      <c r="A54" s="884"/>
      <c r="B54" s="981">
        <f t="shared" si="0"/>
        <v>45</v>
      </c>
      <c r="C54" s="877" t="s">
        <v>1071</v>
      </c>
      <c r="D54" s="878"/>
      <c r="E54" s="843"/>
      <c r="F54" s="842"/>
      <c r="G54" s="843"/>
      <c r="H54" s="842">
        <v>295</v>
      </c>
      <c r="I54" s="843"/>
      <c r="J54" s="842"/>
      <c r="K54" s="843"/>
      <c r="L54" s="844"/>
      <c r="M54" s="843"/>
      <c r="N54" s="842"/>
      <c r="O54" s="843"/>
      <c r="P54" s="842"/>
      <c r="Q54" s="843"/>
      <c r="R54" s="854">
        <f t="shared" si="1"/>
        <v>295</v>
      </c>
      <c r="S54" s="116"/>
      <c r="T54" s="352"/>
      <c r="U54" s="352"/>
      <c r="V54" s="352"/>
    </row>
    <row r="55" spans="1:22" s="351" customFormat="1" ht="15" customHeight="1" x14ac:dyDescent="0.2">
      <c r="A55" s="884"/>
      <c r="B55" s="981">
        <f t="shared" si="0"/>
        <v>46</v>
      </c>
      <c r="C55" s="877" t="s">
        <v>1072</v>
      </c>
      <c r="D55" s="878"/>
      <c r="E55" s="843">
        <f>301+64</f>
        <v>365</v>
      </c>
      <c r="F55" s="842"/>
      <c r="G55" s="843">
        <f>28+13</f>
        <v>41</v>
      </c>
      <c r="H55" s="842"/>
      <c r="I55" s="843">
        <f>1782+3</f>
        <v>1785</v>
      </c>
      <c r="J55" s="842"/>
      <c r="K55" s="843"/>
      <c r="L55" s="844"/>
      <c r="M55" s="843"/>
      <c r="N55" s="842"/>
      <c r="O55" s="843"/>
      <c r="P55" s="842"/>
      <c r="Q55" s="843"/>
      <c r="R55" s="854">
        <f t="shared" si="1"/>
        <v>2191</v>
      </c>
      <c r="S55" s="116"/>
      <c r="T55" s="352"/>
      <c r="U55" s="352"/>
      <c r="V55" s="352"/>
    </row>
    <row r="56" spans="1:22" s="351" customFormat="1" ht="15" customHeight="1" x14ac:dyDescent="0.2">
      <c r="A56" s="884"/>
      <c r="B56" s="981">
        <f t="shared" si="0"/>
        <v>47</v>
      </c>
      <c r="C56" s="877" t="s">
        <v>1073</v>
      </c>
      <c r="D56" s="878">
        <v>4766</v>
      </c>
      <c r="E56" s="843"/>
      <c r="F56" s="842">
        <v>1748</v>
      </c>
      <c r="G56" s="843"/>
      <c r="H56" s="842">
        <f>13917-1221</f>
        <v>12696</v>
      </c>
      <c r="I56" s="843"/>
      <c r="J56" s="842"/>
      <c r="K56" s="843"/>
      <c r="L56" s="844"/>
      <c r="M56" s="843"/>
      <c r="N56" s="842"/>
      <c r="O56" s="843"/>
      <c r="P56" s="842"/>
      <c r="Q56" s="843"/>
      <c r="R56" s="854">
        <f t="shared" si="1"/>
        <v>19210</v>
      </c>
      <c r="S56" s="116"/>
      <c r="T56" s="352"/>
      <c r="U56" s="352"/>
      <c r="V56" s="352"/>
    </row>
    <row r="57" spans="1:22" s="351" customFormat="1" ht="15" customHeight="1" x14ac:dyDescent="0.2">
      <c r="A57" s="884"/>
      <c r="B57" s="981">
        <f t="shared" si="0"/>
        <v>48</v>
      </c>
      <c r="C57" s="877" t="s">
        <v>1075</v>
      </c>
      <c r="D57" s="878"/>
      <c r="E57" s="843"/>
      <c r="F57" s="842"/>
      <c r="G57" s="843"/>
      <c r="H57" s="842">
        <f>3809+11261</f>
        <v>15070</v>
      </c>
      <c r="I57" s="843"/>
      <c r="J57" s="842"/>
      <c r="K57" s="843"/>
      <c r="L57" s="844"/>
      <c r="M57" s="843"/>
      <c r="N57" s="842"/>
      <c r="O57" s="843"/>
      <c r="P57" s="842"/>
      <c r="Q57" s="843"/>
      <c r="R57" s="854">
        <f t="shared" si="1"/>
        <v>15070</v>
      </c>
      <c r="S57" s="116"/>
      <c r="T57" s="352"/>
      <c r="U57" s="352"/>
      <c r="V57" s="352"/>
    </row>
    <row r="58" spans="1:22" s="351" customFormat="1" ht="15" customHeight="1" x14ac:dyDescent="0.2">
      <c r="A58" s="884"/>
      <c r="B58" s="981">
        <f t="shared" si="0"/>
        <v>49</v>
      </c>
      <c r="C58" s="877" t="s">
        <v>1076</v>
      </c>
      <c r="D58" s="878"/>
      <c r="E58" s="843"/>
      <c r="F58" s="842"/>
      <c r="G58" s="843"/>
      <c r="H58" s="842">
        <v>865</v>
      </c>
      <c r="I58" s="843"/>
      <c r="J58" s="842"/>
      <c r="K58" s="843"/>
      <c r="L58" s="844"/>
      <c r="M58" s="843"/>
      <c r="N58" s="842"/>
      <c r="O58" s="843"/>
      <c r="P58" s="842"/>
      <c r="Q58" s="843"/>
      <c r="R58" s="854">
        <f t="shared" si="1"/>
        <v>865</v>
      </c>
      <c r="S58" s="116"/>
      <c r="T58" s="352"/>
      <c r="U58" s="352"/>
      <c r="V58" s="352"/>
    </row>
    <row r="59" spans="1:22" s="351" customFormat="1" ht="15" customHeight="1" thickBot="1" x14ac:dyDescent="0.25">
      <c r="A59" s="884"/>
      <c r="B59" s="981">
        <f t="shared" si="0"/>
        <v>50</v>
      </c>
      <c r="C59" s="877" t="s">
        <v>1077</v>
      </c>
      <c r="D59" s="878"/>
      <c r="E59" s="843">
        <f>14017-50+2+59</f>
        <v>14028</v>
      </c>
      <c r="F59" s="842"/>
      <c r="G59" s="843">
        <f>2843-22+1+11</f>
        <v>2833</v>
      </c>
      <c r="H59" s="842">
        <f>13324+2540+1628</f>
        <v>17492</v>
      </c>
      <c r="I59" s="843">
        <v>76137</v>
      </c>
      <c r="J59" s="842"/>
      <c r="K59" s="843"/>
      <c r="L59" s="844"/>
      <c r="M59" s="843"/>
      <c r="N59" s="842">
        <v>84</v>
      </c>
      <c r="O59" s="843"/>
      <c r="P59" s="842"/>
      <c r="Q59" s="843"/>
      <c r="R59" s="854">
        <f t="shared" si="1"/>
        <v>110574</v>
      </c>
      <c r="S59" s="116"/>
      <c r="T59" s="352"/>
      <c r="U59" s="352"/>
      <c r="V59" s="352"/>
    </row>
    <row r="60" spans="1:22" ht="15.6" customHeight="1" thickBot="1" x14ac:dyDescent="0.25">
      <c r="B60" s="1278" t="s">
        <v>632</v>
      </c>
      <c r="C60" s="1279"/>
      <c r="D60" s="315">
        <f t="shared" ref="D60:R60" si="5">SUM(D10:D59)</f>
        <v>60368</v>
      </c>
      <c r="E60" s="315">
        <f t="shared" si="5"/>
        <v>47841</v>
      </c>
      <c r="F60" s="315">
        <f t="shared" si="5"/>
        <v>18106</v>
      </c>
      <c r="G60" s="315">
        <f t="shared" si="5"/>
        <v>16376.32</v>
      </c>
      <c r="H60" s="315">
        <f t="shared" si="5"/>
        <v>265703</v>
      </c>
      <c r="I60" s="315">
        <f t="shared" si="5"/>
        <v>184545</v>
      </c>
      <c r="J60" s="315">
        <f t="shared" si="5"/>
        <v>7750</v>
      </c>
      <c r="K60" s="315">
        <f t="shared" si="5"/>
        <v>40162</v>
      </c>
      <c r="L60" s="315">
        <f t="shared" si="5"/>
        <v>266185</v>
      </c>
      <c r="M60" s="315">
        <f t="shared" si="5"/>
        <v>19908</v>
      </c>
      <c r="N60" s="315">
        <f t="shared" si="5"/>
        <v>451</v>
      </c>
      <c r="O60" s="315">
        <f t="shared" si="5"/>
        <v>0</v>
      </c>
      <c r="P60" s="315">
        <f t="shared" si="5"/>
        <v>0</v>
      </c>
      <c r="Q60" s="315">
        <f t="shared" si="5"/>
        <v>13750</v>
      </c>
      <c r="R60" s="315">
        <f t="shared" si="5"/>
        <v>941145.32000000007</v>
      </c>
      <c r="S60" s="118"/>
    </row>
    <row r="61" spans="1:22" x14ac:dyDescent="0.2">
      <c r="S61" s="362"/>
    </row>
    <row r="65" spans="12:19" x14ac:dyDescent="0.2">
      <c r="S65" s="359"/>
    </row>
    <row r="66" spans="12:19" x14ac:dyDescent="0.2">
      <c r="S66" s="359"/>
    </row>
    <row r="70" spans="12:19" x14ac:dyDescent="0.2">
      <c r="L70" s="358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0:C60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5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223" t="s">
        <v>1241</v>
      </c>
      <c r="C1" s="1223"/>
      <c r="D1" s="1223"/>
      <c r="E1" s="1223"/>
      <c r="F1" s="1223"/>
      <c r="G1" s="1223"/>
      <c r="H1" s="1179"/>
      <c r="I1" s="1179"/>
      <c r="J1" s="1179"/>
    </row>
    <row r="3" spans="2:11" ht="15.75" customHeight="1" x14ac:dyDescent="0.25">
      <c r="B3" s="1225" t="s">
        <v>78</v>
      </c>
      <c r="C3" s="1225"/>
      <c r="D3" s="1225"/>
      <c r="E3" s="1225"/>
      <c r="F3" s="1225"/>
      <c r="G3" s="1225"/>
      <c r="H3" s="1179"/>
      <c r="I3" s="1179"/>
      <c r="J3" s="1179"/>
    </row>
    <row r="4" spans="2:11" ht="15.75" customHeight="1" x14ac:dyDescent="0.25">
      <c r="B4" s="1310" t="s">
        <v>1129</v>
      </c>
      <c r="C4" s="1311"/>
      <c r="D4" s="1311"/>
      <c r="E4" s="1311"/>
      <c r="F4" s="1311"/>
      <c r="G4" s="1311"/>
    </row>
    <row r="5" spans="2:11" ht="15.75" customHeight="1" x14ac:dyDescent="0.25">
      <c r="B5" s="1225" t="s">
        <v>974</v>
      </c>
      <c r="C5" s="1225"/>
      <c r="D5" s="1225"/>
      <c r="E5" s="1225"/>
      <c r="F5" s="1225"/>
      <c r="G5" s="1225"/>
      <c r="H5" s="1179"/>
      <c r="I5" s="1179"/>
      <c r="J5" s="1179"/>
    </row>
    <row r="6" spans="2:11" s="34" customFormat="1" ht="14.25" customHeight="1" x14ac:dyDescent="0.25">
      <c r="B6" s="1303" t="s">
        <v>336</v>
      </c>
      <c r="C6" s="1303"/>
      <c r="D6" s="1303"/>
      <c r="E6" s="1303"/>
      <c r="F6" s="1303"/>
      <c r="G6" s="1303"/>
      <c r="H6" s="1179"/>
      <c r="I6" s="1179"/>
      <c r="J6" s="1179"/>
    </row>
    <row r="7" spans="2:11" s="34" customFormat="1" ht="14.25" customHeight="1" x14ac:dyDescent="0.25">
      <c r="B7" s="29"/>
      <c r="C7" s="253"/>
      <c r="D7" s="254"/>
      <c r="E7" s="29"/>
      <c r="F7" s="29"/>
      <c r="G7" s="29"/>
    </row>
    <row r="8" spans="2:11" ht="30.6" customHeight="1" x14ac:dyDescent="0.25">
      <c r="B8" s="1304" t="s">
        <v>498</v>
      </c>
      <c r="C8" s="1306" t="s">
        <v>57</v>
      </c>
      <c r="D8" s="1306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305"/>
      <c r="C9" s="1307" t="s">
        <v>563</v>
      </c>
      <c r="D9" s="1307"/>
      <c r="E9" s="1309" t="s">
        <v>1201</v>
      </c>
      <c r="F9" s="1309"/>
      <c r="G9" s="1309"/>
      <c r="H9" s="32"/>
      <c r="I9" s="32"/>
    </row>
    <row r="10" spans="2:11" ht="52.9" customHeight="1" x14ac:dyDescent="0.25">
      <c r="B10" s="1305"/>
      <c r="C10" s="1307"/>
      <c r="D10" s="1308"/>
      <c r="E10" s="255" t="s">
        <v>62</v>
      </c>
      <c r="F10" s="255" t="s">
        <v>63</v>
      </c>
      <c r="G10" s="255" t="s">
        <v>64</v>
      </c>
      <c r="H10" s="32"/>
      <c r="I10" s="32"/>
    </row>
    <row r="11" spans="2:11" ht="23.25" customHeight="1" x14ac:dyDescent="0.25">
      <c r="B11" s="1071" t="s">
        <v>508</v>
      </c>
      <c r="C11" s="1302" t="s">
        <v>633</v>
      </c>
      <c r="D11" s="1302"/>
      <c r="E11" s="256"/>
      <c r="F11" s="256"/>
      <c r="G11" s="256"/>
      <c r="H11" s="32"/>
      <c r="I11" s="32"/>
      <c r="K11" s="634"/>
    </row>
    <row r="12" spans="2:11" ht="18" customHeight="1" x14ac:dyDescent="0.25">
      <c r="B12" s="1072" t="s">
        <v>516</v>
      </c>
      <c r="C12" s="257" t="s">
        <v>597</v>
      </c>
      <c r="D12" s="254"/>
      <c r="E12" s="256"/>
      <c r="F12" s="256"/>
      <c r="G12" s="256"/>
      <c r="H12" s="32"/>
      <c r="I12" s="32"/>
      <c r="K12" s="634"/>
    </row>
    <row r="13" spans="2:11" ht="18" customHeight="1" x14ac:dyDescent="0.25">
      <c r="B13" s="1072" t="s">
        <v>518</v>
      </c>
      <c r="C13" s="258"/>
      <c r="D13" s="259" t="s">
        <v>970</v>
      </c>
      <c r="E13" s="256">
        <v>0</v>
      </c>
      <c r="F13" s="256">
        <v>850</v>
      </c>
      <c r="G13" s="256">
        <f>SUM(E13:F13)</f>
        <v>850</v>
      </c>
      <c r="H13" s="32"/>
      <c r="I13" s="32"/>
      <c r="K13" s="634"/>
    </row>
    <row r="14" spans="2:11" ht="18" customHeight="1" x14ac:dyDescent="0.25">
      <c r="B14" s="1072" t="s">
        <v>519</v>
      </c>
      <c r="C14" s="258"/>
      <c r="D14" s="24" t="s">
        <v>597</v>
      </c>
      <c r="E14" s="256"/>
      <c r="F14" s="260">
        <v>0</v>
      </c>
      <c r="G14" s="256">
        <f>SUM(E14:F14)</f>
        <v>0</v>
      </c>
      <c r="H14" s="32"/>
      <c r="I14" s="32"/>
      <c r="K14" s="634"/>
    </row>
    <row r="15" spans="2:11" ht="18" customHeight="1" x14ac:dyDescent="0.25">
      <c r="B15" s="1072" t="s">
        <v>520</v>
      </c>
      <c r="C15" s="258"/>
      <c r="D15" s="24" t="s">
        <v>1030</v>
      </c>
      <c r="E15" s="256"/>
      <c r="F15" s="260">
        <v>600</v>
      </c>
      <c r="G15" s="256">
        <f>SUM(E15:F15)</f>
        <v>600</v>
      </c>
      <c r="H15" s="32"/>
      <c r="I15" s="32"/>
      <c r="K15" s="634"/>
    </row>
    <row r="16" spans="2:11" ht="18" customHeight="1" x14ac:dyDescent="0.25">
      <c r="B16" s="1072" t="s">
        <v>521</v>
      </c>
      <c r="C16" s="258"/>
      <c r="D16" s="24" t="s">
        <v>1031</v>
      </c>
      <c r="E16" s="256"/>
      <c r="F16" s="260">
        <v>800</v>
      </c>
      <c r="G16" s="256">
        <f t="shared" ref="G16:G19" si="0">SUM(E16:F16)</f>
        <v>800</v>
      </c>
      <c r="H16" s="32"/>
      <c r="I16" s="32"/>
      <c r="K16" s="634"/>
    </row>
    <row r="17" spans="2:19" ht="18" customHeight="1" x14ac:dyDescent="0.25">
      <c r="B17" s="1072" t="s">
        <v>522</v>
      </c>
      <c r="C17" s="258"/>
      <c r="D17" s="24" t="s">
        <v>1032</v>
      </c>
      <c r="E17" s="256"/>
      <c r="F17" s="260">
        <v>1000</v>
      </c>
      <c r="G17" s="256">
        <f t="shared" si="0"/>
        <v>1000</v>
      </c>
      <c r="H17" s="32"/>
      <c r="I17" s="32"/>
      <c r="K17" s="634"/>
    </row>
    <row r="18" spans="2:19" ht="18" customHeight="1" x14ac:dyDescent="0.25">
      <c r="B18" s="1072" t="s">
        <v>523</v>
      </c>
      <c r="C18" s="258"/>
      <c r="D18" s="24" t="s">
        <v>1033</v>
      </c>
      <c r="E18" s="256"/>
      <c r="F18" s="260">
        <v>600</v>
      </c>
      <c r="G18" s="256">
        <f t="shared" si="0"/>
        <v>600</v>
      </c>
      <c r="H18" s="32"/>
      <c r="I18" s="32"/>
      <c r="K18" s="634"/>
    </row>
    <row r="19" spans="2:19" ht="18" customHeight="1" x14ac:dyDescent="0.25">
      <c r="B19" s="1072" t="s">
        <v>565</v>
      </c>
      <c r="C19" s="258"/>
      <c r="D19" s="24" t="s">
        <v>1034</v>
      </c>
      <c r="E19" s="256"/>
      <c r="F19" s="260">
        <v>2300</v>
      </c>
      <c r="G19" s="256">
        <f t="shared" si="0"/>
        <v>2300</v>
      </c>
      <c r="H19" s="32"/>
      <c r="I19" s="32"/>
      <c r="K19" s="634"/>
    </row>
    <row r="20" spans="2:19" ht="18" customHeight="1" x14ac:dyDescent="0.25">
      <c r="B20" s="1072" t="s">
        <v>566</v>
      </c>
      <c r="C20" s="258"/>
      <c r="D20" s="605" t="s">
        <v>630</v>
      </c>
      <c r="E20" s="256"/>
      <c r="F20" s="260">
        <v>500</v>
      </c>
      <c r="G20" s="260">
        <f>SUM(F20)</f>
        <v>500</v>
      </c>
      <c r="H20" s="32"/>
      <c r="I20" s="32"/>
      <c r="K20" s="634"/>
    </row>
    <row r="21" spans="2:19" ht="18" customHeight="1" x14ac:dyDescent="0.25">
      <c r="B21" s="1072" t="s">
        <v>567</v>
      </c>
      <c r="C21" s="806"/>
      <c r="D21" s="605" t="s">
        <v>594</v>
      </c>
      <c r="E21" s="256"/>
      <c r="F21" s="260">
        <v>1800</v>
      </c>
      <c r="G21" s="256">
        <f>SUM(E21:F21)</f>
        <v>1800</v>
      </c>
      <c r="H21" s="32"/>
      <c r="I21" s="32"/>
      <c r="K21" s="634"/>
    </row>
    <row r="22" spans="2:19" ht="18" customHeight="1" x14ac:dyDescent="0.25">
      <c r="B22" s="1072" t="s">
        <v>568</v>
      </c>
      <c r="C22" s="806"/>
      <c r="D22" s="808" t="s">
        <v>593</v>
      </c>
      <c r="E22" s="807"/>
      <c r="F22" s="260">
        <v>1100</v>
      </c>
      <c r="G22" s="606">
        <f>SUM(E22:F22)</f>
        <v>1100</v>
      </c>
      <c r="H22" s="33"/>
      <c r="I22" s="33"/>
      <c r="J22" s="33"/>
      <c r="K22" s="634"/>
      <c r="M22" s="33"/>
    </row>
    <row r="23" spans="2:19" ht="18" customHeight="1" x14ac:dyDescent="0.25">
      <c r="B23" s="1072" t="s">
        <v>569</v>
      </c>
      <c r="C23" s="257" t="s">
        <v>971</v>
      </c>
      <c r="D23" s="254"/>
      <c r="E23" s="261">
        <f>SUM(E13:E22)</f>
        <v>0</v>
      </c>
      <c r="F23" s="261">
        <f>SUM(F13:F22)</f>
        <v>9550</v>
      </c>
      <c r="G23" s="261">
        <f t="shared" ref="G23:J23" si="1">SUM(G13:G22)</f>
        <v>9550</v>
      </c>
      <c r="H23" s="261">
        <f t="shared" si="1"/>
        <v>0</v>
      </c>
      <c r="I23" s="261">
        <f t="shared" si="1"/>
        <v>0</v>
      </c>
      <c r="J23" s="261">
        <f t="shared" si="1"/>
        <v>0</v>
      </c>
      <c r="K23" s="634"/>
    </row>
    <row r="24" spans="2:19" ht="20.25" customHeight="1" x14ac:dyDescent="0.25">
      <c r="B24" s="1072"/>
      <c r="D24" s="28"/>
      <c r="E24" s="256"/>
      <c r="F24" s="256"/>
      <c r="G24" s="256"/>
      <c r="H24" s="32"/>
      <c r="I24" s="32"/>
      <c r="K24" s="634"/>
    </row>
    <row r="25" spans="2:19" ht="18" customHeight="1" x14ac:dyDescent="0.25">
      <c r="B25" s="1072" t="s">
        <v>570</v>
      </c>
      <c r="C25" s="17" t="s">
        <v>635</v>
      </c>
      <c r="E25" s="256"/>
      <c r="F25" s="256"/>
      <c r="G25" s="256"/>
      <c r="H25" s="32"/>
      <c r="I25" s="32"/>
      <c r="K25" s="634"/>
      <c r="S25" s="33"/>
    </row>
    <row r="26" spans="2:19" ht="18" customHeight="1" x14ac:dyDescent="0.25">
      <c r="B26" s="1072" t="s">
        <v>571</v>
      </c>
      <c r="D26" s="24" t="s">
        <v>636</v>
      </c>
      <c r="E26" s="256"/>
      <c r="F26" s="256">
        <v>0</v>
      </c>
      <c r="G26" s="256">
        <f>SUM(E26:F26)</f>
        <v>0</v>
      </c>
      <c r="H26" s="32"/>
      <c r="I26" s="32"/>
      <c r="K26" s="634"/>
    </row>
    <row r="27" spans="2:19" ht="18" customHeight="1" x14ac:dyDescent="0.25">
      <c r="B27" s="1072" t="s">
        <v>572</v>
      </c>
      <c r="D27" s="24" t="s">
        <v>584</v>
      </c>
      <c r="E27" s="260">
        <v>0</v>
      </c>
      <c r="F27" s="256">
        <v>0</v>
      </c>
      <c r="G27" s="256">
        <f>SUM(E27:F27)</f>
        <v>0</v>
      </c>
      <c r="H27" s="32"/>
      <c r="I27" s="32"/>
      <c r="K27" s="634"/>
    </row>
    <row r="28" spans="2:19" ht="18" customHeight="1" x14ac:dyDescent="0.25">
      <c r="B28" s="1072" t="s">
        <v>574</v>
      </c>
      <c r="C28" s="29" t="s">
        <v>972</v>
      </c>
      <c r="E28" s="809">
        <f>SUM(E26:E27)</f>
        <v>0</v>
      </c>
      <c r="F28" s="809">
        <f>SUM(F26:F27)</f>
        <v>0</v>
      </c>
      <c r="G28" s="809">
        <f>SUM(G26:G27)</f>
        <v>0</v>
      </c>
      <c r="H28" s="32"/>
      <c r="I28" s="32"/>
      <c r="K28" s="634"/>
    </row>
    <row r="29" spans="2:19" ht="18" customHeight="1" x14ac:dyDescent="0.25">
      <c r="B29" s="1072"/>
      <c r="E29" s="256"/>
      <c r="F29" s="256"/>
      <c r="G29" s="256"/>
      <c r="H29" s="32"/>
      <c r="I29" s="32"/>
      <c r="K29" s="634"/>
    </row>
    <row r="30" spans="2:19" ht="37.9" customHeight="1" x14ac:dyDescent="0.25">
      <c r="B30" s="1073" t="s">
        <v>575</v>
      </c>
      <c r="D30" s="24" t="s">
        <v>638</v>
      </c>
      <c r="E30" s="256"/>
      <c r="F30" s="256">
        <v>4200</v>
      </c>
      <c r="G30" s="256">
        <f>SUM(E30:F30)</f>
        <v>4200</v>
      </c>
      <c r="H30" s="32"/>
      <c r="I30" s="32"/>
      <c r="K30" s="634"/>
    </row>
    <row r="31" spans="2:19" ht="23.25" customHeight="1" thickBot="1" x14ac:dyDescent="0.3">
      <c r="B31" s="1074" t="s">
        <v>576</v>
      </c>
      <c r="C31" s="1038"/>
      <c r="D31" s="1036" t="s">
        <v>634</v>
      </c>
      <c r="E31" s="810">
        <f>E30</f>
        <v>0</v>
      </c>
      <c r="F31" s="810">
        <f t="shared" ref="F31:G31" si="2">F30</f>
        <v>4200</v>
      </c>
      <c r="G31" s="810">
        <f t="shared" si="2"/>
        <v>4200</v>
      </c>
      <c r="H31" s="32"/>
      <c r="I31" s="32"/>
      <c r="K31" s="634"/>
    </row>
    <row r="32" spans="2:19" s="34" customFormat="1" ht="18" customHeight="1" thickBot="1" x14ac:dyDescent="0.3">
      <c r="B32" s="1075" t="s">
        <v>577</v>
      </c>
      <c r="C32" s="1037" t="s">
        <v>973</v>
      </c>
      <c r="D32" s="306"/>
      <c r="E32" s="811">
        <f>E23+E28+E30</f>
        <v>0</v>
      </c>
      <c r="F32" s="811">
        <f t="shared" ref="F32:G32" si="3">F23+F28+F30</f>
        <v>13750</v>
      </c>
      <c r="G32" s="811">
        <f t="shared" si="3"/>
        <v>13750</v>
      </c>
      <c r="K32" s="635"/>
      <c r="M32" s="38"/>
    </row>
    <row r="33" spans="2:9" ht="18" customHeight="1" x14ac:dyDescent="0.25">
      <c r="B33" s="606"/>
      <c r="H33" s="32"/>
      <c r="I33" s="32"/>
    </row>
    <row r="34" spans="2:9" ht="18" customHeight="1" x14ac:dyDescent="0.25">
      <c r="H34" s="32"/>
      <c r="I34" s="32"/>
    </row>
    <row r="35" spans="2:9" ht="18" customHeight="1" x14ac:dyDescent="0.25">
      <c r="H35" s="32"/>
      <c r="I35" s="32"/>
    </row>
    <row r="36" spans="2:9" ht="18" customHeight="1" x14ac:dyDescent="0.25">
      <c r="H36" s="32"/>
      <c r="I36" s="32"/>
    </row>
    <row r="37" spans="2:9" ht="18" customHeight="1" x14ac:dyDescent="0.25">
      <c r="H37" s="32"/>
      <c r="I37" s="32"/>
    </row>
    <row r="38" spans="2:9" ht="18" customHeight="1" x14ac:dyDescent="0.25">
      <c r="H38" s="32"/>
      <c r="I38" s="32"/>
    </row>
    <row r="39" spans="2:9" ht="18" customHeight="1" x14ac:dyDescent="0.25">
      <c r="H39" s="32"/>
      <c r="I39" s="32"/>
    </row>
    <row r="40" spans="2:9" ht="18" customHeight="1" x14ac:dyDescent="0.25">
      <c r="H40" s="32"/>
      <c r="I40" s="32"/>
    </row>
    <row r="41" spans="2:9" ht="18" customHeight="1" x14ac:dyDescent="0.25">
      <c r="H41" s="32"/>
      <c r="I41" s="32"/>
    </row>
    <row r="42" spans="2:9" ht="18" customHeight="1" x14ac:dyDescent="0.25">
      <c r="H42" s="32"/>
      <c r="I42" s="32"/>
    </row>
    <row r="43" spans="2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P14" sqref="P14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5" customWidth="1"/>
    <col min="5" max="6" width="9.42578125" style="3" customWidth="1"/>
    <col min="7" max="7" width="9.7109375" style="3" customWidth="1"/>
    <col min="8" max="9" width="0" style="251" hidden="1" customWidth="1"/>
    <col min="10" max="10" width="9.85546875" style="270" hidden="1" customWidth="1"/>
    <col min="11" max="11" width="0" style="270" hidden="1" customWidth="1"/>
    <col min="12" max="16384" width="9.140625" style="4"/>
  </cols>
  <sheetData>
    <row r="1" spans="1:12" ht="31.5" customHeight="1" x14ac:dyDescent="0.2">
      <c r="B1" s="1313" t="s">
        <v>1242</v>
      </c>
      <c r="C1" s="1313"/>
      <c r="D1" s="1313"/>
      <c r="E1" s="1313"/>
      <c r="F1" s="1313"/>
      <c r="G1" s="1313"/>
      <c r="H1" s="1314"/>
      <c r="I1" s="1314"/>
      <c r="J1" s="1314"/>
      <c r="K1" s="1179"/>
    </row>
    <row r="3" spans="1:12" ht="12.75" customHeight="1" x14ac:dyDescent="0.2">
      <c r="B3" s="1178" t="s">
        <v>538</v>
      </c>
      <c r="C3" s="1178"/>
      <c r="D3" s="1178"/>
      <c r="E3" s="1178"/>
      <c r="F3" s="1178"/>
      <c r="G3" s="1178"/>
      <c r="H3" s="1179"/>
      <c r="I3" s="1179"/>
      <c r="J3" s="1179"/>
    </row>
    <row r="4" spans="1:12" ht="12.75" customHeight="1" x14ac:dyDescent="0.2">
      <c r="B4" s="1178" t="s">
        <v>1129</v>
      </c>
      <c r="C4" s="1178"/>
      <c r="D4" s="1178"/>
      <c r="E4" s="1178"/>
      <c r="F4" s="1178"/>
      <c r="G4" s="1178"/>
      <c r="H4" s="1179"/>
      <c r="I4" s="1179"/>
      <c r="J4" s="1179"/>
    </row>
    <row r="5" spans="1:12" ht="12.75" customHeight="1" x14ac:dyDescent="0.2">
      <c r="B5" s="1178" t="s">
        <v>974</v>
      </c>
      <c r="C5" s="1178"/>
      <c r="D5" s="1178"/>
      <c r="E5" s="1178"/>
      <c r="F5" s="1178"/>
      <c r="G5" s="1178"/>
      <c r="H5" s="1179"/>
      <c r="I5" s="1179"/>
      <c r="J5" s="1179"/>
    </row>
    <row r="6" spans="1:12" s="143" customFormat="1" ht="14.25" customHeight="1" x14ac:dyDescent="0.2">
      <c r="B6" s="238"/>
      <c r="C6" s="1312" t="s">
        <v>321</v>
      </c>
      <c r="D6" s="1312"/>
      <c r="E6" s="1266"/>
      <c r="F6" s="1266"/>
      <c r="G6" s="1266"/>
      <c r="H6" s="1179"/>
      <c r="I6" s="1179"/>
      <c r="J6" s="1179"/>
      <c r="K6" s="272"/>
    </row>
    <row r="7" spans="1:12" s="143" customFormat="1" ht="6" customHeight="1" x14ac:dyDescent="0.2">
      <c r="B7" s="238"/>
      <c r="C7" s="233"/>
      <c r="D7" s="262"/>
      <c r="E7" s="238"/>
      <c r="F7" s="238"/>
      <c r="G7" s="238"/>
      <c r="H7" s="304"/>
      <c r="I7" s="304"/>
      <c r="J7" s="272"/>
      <c r="K7" s="272"/>
    </row>
    <row r="8" spans="1:12" ht="27" customHeight="1" x14ac:dyDescent="0.25">
      <c r="B8" s="1315" t="s">
        <v>498</v>
      </c>
      <c r="C8" s="1318" t="s">
        <v>57</v>
      </c>
      <c r="D8" s="1318"/>
      <c r="E8" s="20" t="s">
        <v>58</v>
      </c>
      <c r="F8" s="20" t="s">
        <v>59</v>
      </c>
      <c r="G8" s="20" t="s">
        <v>60</v>
      </c>
      <c r="H8" s="270"/>
      <c r="I8" s="4"/>
      <c r="J8" s="4"/>
      <c r="K8" s="4"/>
    </row>
    <row r="9" spans="1:12" ht="30" customHeight="1" x14ac:dyDescent="0.2">
      <c r="B9" s="1316"/>
      <c r="C9" s="1307" t="s">
        <v>86</v>
      </c>
      <c r="D9" s="1307"/>
      <c r="E9" s="1320" t="s">
        <v>1125</v>
      </c>
      <c r="F9" s="1320"/>
      <c r="G9" s="1320"/>
      <c r="H9" s="270"/>
      <c r="I9" s="4"/>
      <c r="J9" s="4"/>
      <c r="K9" s="4"/>
    </row>
    <row r="10" spans="1:12" ht="41.25" customHeight="1" x14ac:dyDescent="0.2">
      <c r="B10" s="1317"/>
      <c r="C10" s="1307"/>
      <c r="D10" s="1307"/>
      <c r="E10" s="255" t="s">
        <v>62</v>
      </c>
      <c r="F10" s="255" t="s">
        <v>63</v>
      </c>
      <c r="G10" s="255" t="s">
        <v>64</v>
      </c>
      <c r="H10" s="270"/>
      <c r="I10" s="4"/>
      <c r="J10" s="4"/>
      <c r="K10" s="4"/>
    </row>
    <row r="11" spans="1:12" ht="18" customHeight="1" x14ac:dyDescent="0.2">
      <c r="A11" s="1067"/>
      <c r="B11" s="1068" t="s">
        <v>508</v>
      </c>
      <c r="C11" s="1321" t="s">
        <v>639</v>
      </c>
      <c r="D11" s="1321"/>
      <c r="E11" s="263"/>
      <c r="F11" s="241"/>
      <c r="G11" s="601"/>
      <c r="H11" s="270"/>
      <c r="I11" s="4"/>
      <c r="J11" s="4"/>
      <c r="K11" s="4"/>
      <c r="L11" s="632"/>
    </row>
    <row r="12" spans="1:12" ht="26.45" customHeight="1" x14ac:dyDescent="0.2">
      <c r="A12" s="1067"/>
      <c r="B12" s="1069" t="s">
        <v>516</v>
      </c>
      <c r="C12" s="241"/>
      <c r="D12" s="335" t="s">
        <v>975</v>
      </c>
      <c r="E12" s="265">
        <f>'tám, végl. pe.átv  '!C29</f>
        <v>350</v>
      </c>
      <c r="F12" s="264"/>
      <c r="G12" s="601">
        <f>SUM(E12:F12)</f>
        <v>350</v>
      </c>
      <c r="H12" s="270"/>
      <c r="I12" s="4"/>
      <c r="J12" s="4"/>
      <c r="K12" s="4"/>
      <c r="L12" s="632"/>
    </row>
    <row r="13" spans="1:12" ht="20.25" customHeight="1" x14ac:dyDescent="0.2">
      <c r="A13" s="1067"/>
      <c r="B13" s="1069" t="s">
        <v>517</v>
      </c>
      <c r="C13" s="241"/>
      <c r="D13" s="335" t="s">
        <v>114</v>
      </c>
      <c r="E13" s="263">
        <v>0</v>
      </c>
      <c r="F13" s="241">
        <f>SUM(F12)</f>
        <v>0</v>
      </c>
      <c r="G13" s="601">
        <f>SUM(E13:F13)</f>
        <v>0</v>
      </c>
      <c r="H13" s="270"/>
      <c r="I13" s="4"/>
      <c r="J13" s="4"/>
      <c r="K13" s="4"/>
      <c r="L13" s="632"/>
    </row>
    <row r="14" spans="1:12" ht="18" customHeight="1" x14ac:dyDescent="0.2">
      <c r="A14" s="1067"/>
      <c r="B14" s="1069" t="s">
        <v>518</v>
      </c>
      <c r="D14" s="266" t="s">
        <v>634</v>
      </c>
      <c r="E14" s="267">
        <f>SUM(E12:E13)</f>
        <v>350</v>
      </c>
      <c r="F14" s="243"/>
      <c r="G14" s="602">
        <f>SUM(G12:G13)</f>
        <v>350</v>
      </c>
      <c r="H14" s="270"/>
      <c r="I14" s="4"/>
      <c r="J14" s="4"/>
      <c r="K14" s="4"/>
      <c r="L14" s="632"/>
    </row>
    <row r="15" spans="1:12" ht="18" customHeight="1" x14ac:dyDescent="0.2">
      <c r="A15" s="1067"/>
      <c r="B15" s="1069" t="s">
        <v>519</v>
      </c>
      <c r="D15" s="266"/>
      <c r="E15" s="263"/>
      <c r="F15" s="241"/>
      <c r="G15" s="601"/>
      <c r="H15" s="270"/>
      <c r="I15" s="4"/>
      <c r="J15" s="4"/>
      <c r="K15" s="4"/>
      <c r="L15" s="632"/>
    </row>
    <row r="16" spans="1:12" ht="18" customHeight="1" x14ac:dyDescent="0.2">
      <c r="A16" s="1067"/>
      <c r="B16" s="1070" t="s">
        <v>520</v>
      </c>
      <c r="E16" s="307"/>
      <c r="F16" s="241"/>
      <c r="G16" s="603"/>
      <c r="H16" s="270"/>
      <c r="I16" s="4"/>
      <c r="J16" s="4"/>
      <c r="K16" s="4"/>
      <c r="L16" s="632"/>
    </row>
    <row r="17" spans="2:12" ht="18" customHeight="1" x14ac:dyDescent="0.2">
      <c r="B17" s="268" t="s">
        <v>521</v>
      </c>
      <c r="C17" s="1319" t="s">
        <v>637</v>
      </c>
      <c r="D17" s="1319"/>
      <c r="E17" s="269">
        <f>E14</f>
        <v>350</v>
      </c>
      <c r="F17" s="269">
        <f t="shared" ref="F17:G17" si="0">F14</f>
        <v>0</v>
      </c>
      <c r="G17" s="269">
        <f t="shared" si="0"/>
        <v>350</v>
      </c>
      <c r="H17" s="270"/>
      <c r="I17" s="4"/>
      <c r="J17" s="4"/>
      <c r="K17" s="4"/>
      <c r="L17" s="632"/>
    </row>
    <row r="18" spans="2:12" ht="18" customHeight="1" x14ac:dyDescent="0.2">
      <c r="B18" s="5"/>
      <c r="H18" s="270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topLeftCell="A22" zoomScale="120" workbookViewId="0">
      <selection activeCell="K33" sqref="K33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94" customWidth="1"/>
    <col min="8" max="8" width="12.42578125" style="294" customWidth="1"/>
    <col min="9" max="9" width="13" style="294" customWidth="1"/>
    <col min="10" max="10" width="9.140625" style="157"/>
    <col min="11" max="16384" width="9.140625" style="10"/>
  </cols>
  <sheetData>
    <row r="1" spans="1:10" ht="12.75" customHeight="1" x14ac:dyDescent="0.2">
      <c r="B1" s="1131" t="s">
        <v>1243</v>
      </c>
      <c r="C1" s="1179"/>
      <c r="D1" s="1179"/>
      <c r="E1" s="1179"/>
      <c r="F1" s="1179"/>
      <c r="G1" s="1179"/>
      <c r="H1" s="1179"/>
      <c r="I1" s="1179"/>
    </row>
    <row r="2" spans="1:10" x14ac:dyDescent="0.2">
      <c r="I2" s="365"/>
    </row>
    <row r="3" spans="1:10" x14ac:dyDescent="0.2">
      <c r="I3" s="365"/>
    </row>
    <row r="4" spans="1:10" s="122" customFormat="1" x14ac:dyDescent="0.2">
      <c r="A4" s="160"/>
      <c r="B4" s="1134" t="s">
        <v>78</v>
      </c>
      <c r="C4" s="1134"/>
      <c r="D4" s="1134"/>
      <c r="E4" s="1134"/>
      <c r="F4" s="1134"/>
      <c r="G4" s="1134"/>
      <c r="H4" s="1134"/>
      <c r="I4" s="1134"/>
      <c r="J4" s="160"/>
    </row>
    <row r="5" spans="1:10" s="122" customFormat="1" x14ac:dyDescent="0.2">
      <c r="A5" s="160"/>
      <c r="B5" s="1234" t="s">
        <v>196</v>
      </c>
      <c r="C5" s="1234"/>
      <c r="D5" s="1234"/>
      <c r="E5" s="1234"/>
      <c r="F5" s="1234"/>
      <c r="G5" s="1234"/>
      <c r="H5" s="1234"/>
      <c r="I5" s="1234"/>
      <c r="J5" s="160"/>
    </row>
    <row r="6" spans="1:10" s="122" customFormat="1" x14ac:dyDescent="0.2">
      <c r="A6" s="160"/>
      <c r="B6" s="1134" t="s">
        <v>1131</v>
      </c>
      <c r="C6" s="1134"/>
      <c r="D6" s="1134"/>
      <c r="E6" s="1134"/>
      <c r="F6" s="1134"/>
      <c r="G6" s="1134"/>
      <c r="H6" s="1134"/>
      <c r="I6" s="1134"/>
      <c r="J6" s="160"/>
    </row>
    <row r="7" spans="1:10" s="122" customFormat="1" x14ac:dyDescent="0.2">
      <c r="A7" s="160"/>
      <c r="B7" s="1135" t="s">
        <v>321</v>
      </c>
      <c r="C7" s="1135"/>
      <c r="D7" s="1135"/>
      <c r="E7" s="1135"/>
      <c r="F7" s="1135"/>
      <c r="G7" s="1135"/>
      <c r="H7" s="1135"/>
      <c r="I7" s="1135"/>
      <c r="J7" s="160"/>
    </row>
    <row r="8" spans="1:10" s="122" customFormat="1" ht="12.75" customHeight="1" x14ac:dyDescent="0.2">
      <c r="A8" s="1139" t="s">
        <v>56</v>
      </c>
      <c r="B8" s="1140" t="s">
        <v>57</v>
      </c>
      <c r="C8" s="1155" t="s">
        <v>58</v>
      </c>
      <c r="D8" s="1155"/>
      <c r="E8" s="1156"/>
      <c r="F8" s="1233" t="s">
        <v>59</v>
      </c>
      <c r="G8" s="1153" t="s">
        <v>60</v>
      </c>
      <c r="H8" s="1154"/>
      <c r="I8" s="1154"/>
      <c r="J8" s="629"/>
    </row>
    <row r="9" spans="1:10" s="122" customFormat="1" ht="12.75" customHeight="1" x14ac:dyDescent="0.2">
      <c r="A9" s="1139"/>
      <c r="B9" s="1140"/>
      <c r="C9" s="1132" t="s">
        <v>1125</v>
      </c>
      <c r="D9" s="1132"/>
      <c r="E9" s="1133"/>
      <c r="F9" s="1233"/>
      <c r="G9" s="1145" t="s">
        <v>1125</v>
      </c>
      <c r="H9" s="1145"/>
      <c r="I9" s="1145"/>
      <c r="J9" s="629"/>
    </row>
    <row r="10" spans="1:10" s="313" customFormat="1" ht="36.6" customHeight="1" x14ac:dyDescent="0.2">
      <c r="A10" s="1139"/>
      <c r="B10" s="311" t="s">
        <v>61</v>
      </c>
      <c r="C10" s="135" t="s">
        <v>62</v>
      </c>
      <c r="D10" s="135" t="s">
        <v>63</v>
      </c>
      <c r="E10" s="162" t="s">
        <v>64</v>
      </c>
      <c r="F10" s="312" t="s">
        <v>65</v>
      </c>
      <c r="G10" s="366" t="s">
        <v>62</v>
      </c>
      <c r="H10" s="366" t="s">
        <v>63</v>
      </c>
      <c r="I10" s="366" t="s">
        <v>64</v>
      </c>
      <c r="J10" s="636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71"/>
      <c r="H11" s="371"/>
      <c r="I11" s="482"/>
      <c r="J11" s="193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231</v>
      </c>
      <c r="G12" s="289">
        <v>200000</v>
      </c>
      <c r="H12" s="289">
        <v>34440</v>
      </c>
      <c r="I12" s="483">
        <f>SUM(G12:H12)</f>
        <v>234440</v>
      </c>
      <c r="J12" s="193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56" t="s">
        <v>232</v>
      </c>
      <c r="G13" s="289">
        <v>43074</v>
      </c>
      <c r="H13" s="289">
        <v>6655</v>
      </c>
      <c r="I13" s="483">
        <f>SUM(G13:H13)</f>
        <v>49729</v>
      </c>
      <c r="J13" s="628"/>
    </row>
    <row r="14" spans="1:10" x14ac:dyDescent="0.2">
      <c r="A14" s="164">
        <f t="shared" si="0"/>
        <v>4</v>
      </c>
      <c r="B14" s="167" t="s">
        <v>207</v>
      </c>
      <c r="C14" s="118">
        <f>'tám, végl. pe.átv  '!C48</f>
        <v>0</v>
      </c>
      <c r="D14" s="118">
        <f>'tám, végl. pe.átv  '!D48</f>
        <v>0</v>
      </c>
      <c r="E14" s="289">
        <f t="shared" si="1"/>
        <v>0</v>
      </c>
      <c r="F14" s="139" t="s">
        <v>233</v>
      </c>
      <c r="G14" s="289">
        <v>162500</v>
      </c>
      <c r="H14" s="289">
        <v>49746</v>
      </c>
      <c r="I14" s="483">
        <f>SUM(G14:H14)</f>
        <v>212246</v>
      </c>
      <c r="J14" s="193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89"/>
      <c r="H15" s="389"/>
      <c r="I15" s="484"/>
      <c r="J15" s="193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6"/>
      <c r="H16" s="296"/>
      <c r="I16" s="485"/>
      <c r="J16" s="193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6"/>
      <c r="H17" s="296"/>
      <c r="I17" s="485"/>
      <c r="J17" s="193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472</v>
      </c>
      <c r="G18" s="296"/>
      <c r="H18" s="296"/>
      <c r="I18" s="485"/>
      <c r="J18" s="193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296"/>
      <c r="H19" s="296"/>
      <c r="I19" s="485"/>
      <c r="J19" s="193"/>
    </row>
    <row r="20" spans="1:10" x14ac:dyDescent="0.2">
      <c r="A20" s="164">
        <f t="shared" si="0"/>
        <v>10</v>
      </c>
      <c r="B20" s="116" t="s">
        <v>210</v>
      </c>
      <c r="C20" s="367">
        <f>54374+1800</f>
        <v>56174</v>
      </c>
      <c r="D20" s="367">
        <f>47860-1960</f>
        <v>45900</v>
      </c>
      <c r="E20" s="367">
        <f>SUM(C20:D20)</f>
        <v>102074</v>
      </c>
      <c r="F20" s="139" t="s">
        <v>205</v>
      </c>
      <c r="G20" s="296"/>
      <c r="H20" s="296"/>
      <c r="I20" s="485"/>
      <c r="J20" s="193"/>
    </row>
    <row r="21" spans="1:10" x14ac:dyDescent="0.2">
      <c r="A21" s="164">
        <f t="shared" si="0"/>
        <v>11</v>
      </c>
      <c r="C21" s="168"/>
      <c r="D21" s="168"/>
      <c r="E21" s="168"/>
      <c r="F21" s="139" t="s">
        <v>979</v>
      </c>
      <c r="G21" s="296"/>
      <c r="H21" s="296"/>
      <c r="I21" s="485"/>
      <c r="J21" s="193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980</v>
      </c>
      <c r="G22" s="296"/>
      <c r="H22" s="296"/>
      <c r="I22" s="485"/>
      <c r="J22" s="631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6"/>
      <c r="H23" s="296"/>
      <c r="I23" s="485"/>
      <c r="J23" s="631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68">
        <f>SUM(G12:G22)</f>
        <v>405574</v>
      </c>
      <c r="H24" s="368">
        <f>SUM(H12:H22)</f>
        <v>90841</v>
      </c>
      <c r="I24" s="486">
        <f>SUM(I12:I22)</f>
        <v>496415</v>
      </c>
      <c r="J24" s="193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6"/>
      <c r="H25" s="296"/>
      <c r="I25" s="485"/>
      <c r="J25" s="193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70"/>
      <c r="H26" s="370"/>
      <c r="I26" s="485"/>
      <c r="J26" s="193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296">
        <f>'felhalm. kiad.  '!G100</f>
        <v>6000</v>
      </c>
      <c r="H27" s="296">
        <f>'felhalm. kiad.  '!H100</f>
        <v>0</v>
      </c>
      <c r="I27" s="485">
        <f>SUM(G27:H27)</f>
        <v>6000</v>
      </c>
      <c r="J27" s="193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6"/>
      <c r="H28" s="296"/>
      <c r="I28" s="485"/>
      <c r="J28" s="193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6"/>
      <c r="H29" s="296"/>
      <c r="I29" s="485"/>
      <c r="J29" s="193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296"/>
      <c r="H30" s="296"/>
      <c r="I30" s="485"/>
      <c r="J30" s="631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296"/>
      <c r="H31" s="296"/>
      <c r="I31" s="485"/>
      <c r="J31" s="193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56174</v>
      </c>
      <c r="D32" s="168">
        <f>D14+D20</f>
        <v>45900</v>
      </c>
      <c r="E32" s="168">
        <f>E14+E20</f>
        <v>102074</v>
      </c>
      <c r="F32" s="139" t="s">
        <v>466</v>
      </c>
      <c r="G32" s="294"/>
      <c r="H32" s="294"/>
      <c r="I32" s="485"/>
      <c r="J32" s="53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69">
        <f>SUM(G27:G32)</f>
        <v>6000</v>
      </c>
      <c r="H33" s="369">
        <f>SUM(H27:H32)</f>
        <v>0</v>
      </c>
      <c r="I33" s="487">
        <f>SUM(I27:I31)</f>
        <v>6000</v>
      </c>
      <c r="J33" s="193"/>
    </row>
    <row r="34" spans="1:10" x14ac:dyDescent="0.2">
      <c r="A34" s="164">
        <f t="shared" si="0"/>
        <v>24</v>
      </c>
      <c r="B34" s="178" t="s">
        <v>51</v>
      </c>
      <c r="C34" s="173">
        <f>SUM(C32:C33)</f>
        <v>56174</v>
      </c>
      <c r="D34" s="173">
        <f>SUM(D32:D33)</f>
        <v>45900</v>
      </c>
      <c r="E34" s="173">
        <f>SUM(C34:D34)</f>
        <v>102074</v>
      </c>
      <c r="F34" s="179" t="s">
        <v>69</v>
      </c>
      <c r="G34" s="370">
        <f>G24+G33</f>
        <v>411574</v>
      </c>
      <c r="H34" s="370">
        <f>H24+H33</f>
        <v>90841</v>
      </c>
      <c r="I34" s="458">
        <f>I24+I33</f>
        <v>502415</v>
      </c>
      <c r="J34" s="193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6"/>
      <c r="H35" s="296"/>
      <c r="I35" s="485"/>
      <c r="J35" s="193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68"/>
      <c r="H36" s="368"/>
      <c r="I36" s="486"/>
      <c r="J36" s="193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6"/>
      <c r="H37" s="296"/>
      <c r="I37" s="485"/>
      <c r="J37" s="531"/>
    </row>
    <row r="38" spans="1:10" s="11" customFormat="1" x14ac:dyDescent="0.2">
      <c r="A38" s="81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70"/>
      <c r="H38" s="370"/>
      <c r="I38" s="458"/>
      <c r="J38" s="531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92"/>
      <c r="I39" s="488"/>
      <c r="J39" s="531"/>
    </row>
    <row r="40" spans="1:10" s="11" customFormat="1" x14ac:dyDescent="0.2">
      <c r="A40" s="164">
        <f t="shared" si="0"/>
        <v>30</v>
      </c>
      <c r="B40" s="116" t="s">
        <v>1018</v>
      </c>
      <c r="C40" s="126"/>
      <c r="D40" s="126"/>
      <c r="E40" s="126"/>
      <c r="F40" s="557" t="s">
        <v>3</v>
      </c>
      <c r="G40" s="370"/>
      <c r="H40" s="370"/>
      <c r="I40" s="458"/>
      <c r="J40" s="531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370"/>
      <c r="H41" s="370"/>
      <c r="I41" s="458"/>
      <c r="J41" s="193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92"/>
      <c r="H42" s="192"/>
      <c r="I42" s="458"/>
      <c r="J42" s="193"/>
    </row>
    <row r="43" spans="1:10" x14ac:dyDescent="0.2">
      <c r="A43" s="164">
        <f t="shared" si="0"/>
        <v>33</v>
      </c>
      <c r="B43" s="555" t="s">
        <v>290</v>
      </c>
      <c r="C43" s="119"/>
      <c r="D43" s="119"/>
      <c r="E43" s="119">
        <f>C43+D43</f>
        <v>0</v>
      </c>
      <c r="F43" s="139" t="s">
        <v>7</v>
      </c>
      <c r="G43" s="192"/>
      <c r="H43" s="192"/>
      <c r="I43" s="458"/>
      <c r="J43" s="193"/>
    </row>
    <row r="44" spans="1:10" x14ac:dyDescent="0.2">
      <c r="A44" s="164">
        <f t="shared" si="0"/>
        <v>34</v>
      </c>
      <c r="B44" s="555" t="s">
        <v>1014</v>
      </c>
      <c r="C44" s="119"/>
      <c r="D44" s="119"/>
      <c r="E44" s="119"/>
      <c r="F44" s="139"/>
      <c r="G44" s="192"/>
      <c r="H44" s="192"/>
      <c r="I44" s="458"/>
      <c r="J44" s="193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370"/>
      <c r="H45" s="370"/>
      <c r="I45" s="485"/>
      <c r="J45" s="193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370"/>
      <c r="H46" s="370"/>
      <c r="I46" s="485"/>
      <c r="J46" s="193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296"/>
      <c r="H47" s="296"/>
      <c r="I47" s="485"/>
      <c r="J47" s="193"/>
    </row>
    <row r="48" spans="1:10" x14ac:dyDescent="0.2">
      <c r="A48" s="164">
        <f t="shared" si="0"/>
        <v>38</v>
      </c>
      <c r="B48" s="555" t="s">
        <v>228</v>
      </c>
      <c r="C48" s="119">
        <f>G24-(C34+C43)</f>
        <v>349400</v>
      </c>
      <c r="D48" s="119">
        <f>H24-(D34+D43)</f>
        <v>44941</v>
      </c>
      <c r="E48" s="119">
        <f>I24-(E34+E43)</f>
        <v>394341</v>
      </c>
      <c r="F48" s="139" t="s">
        <v>11</v>
      </c>
      <c r="G48" s="296"/>
      <c r="H48" s="296"/>
      <c r="I48" s="485"/>
      <c r="J48" s="193"/>
    </row>
    <row r="49" spans="1:10" x14ac:dyDescent="0.2">
      <c r="A49" s="164">
        <f t="shared" si="0"/>
        <v>39</v>
      </c>
      <c r="B49" s="555" t="s">
        <v>229</v>
      </c>
      <c r="C49" s="119">
        <f>G33-C33</f>
        <v>6000</v>
      </c>
      <c r="D49" s="119">
        <f>H33-D33</f>
        <v>0</v>
      </c>
      <c r="E49" s="119">
        <f>I33-E33</f>
        <v>6000</v>
      </c>
      <c r="F49" s="139" t="s">
        <v>12</v>
      </c>
      <c r="G49" s="296"/>
      <c r="H49" s="296"/>
      <c r="I49" s="485"/>
      <c r="J49" s="193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6"/>
      <c r="H50" s="296"/>
      <c r="I50" s="485"/>
      <c r="J50" s="193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6"/>
      <c r="H51" s="296"/>
      <c r="I51" s="485"/>
      <c r="J51" s="193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6"/>
      <c r="H52" s="296"/>
      <c r="I52" s="485"/>
      <c r="J52" s="193"/>
    </row>
    <row r="53" spans="1:10" ht="12" thickBot="1" x14ac:dyDescent="0.25">
      <c r="A53" s="164">
        <f t="shared" si="0"/>
        <v>43</v>
      </c>
      <c r="B53" s="178" t="s">
        <v>474</v>
      </c>
      <c r="C53" s="126">
        <f>SUM(C39:C51)</f>
        <v>355400</v>
      </c>
      <c r="D53" s="340">
        <f>SUM(D39:D51)</f>
        <v>44941</v>
      </c>
      <c r="E53" s="340">
        <f>SUM(E39:E51)</f>
        <v>400341</v>
      </c>
      <c r="F53" s="140" t="s">
        <v>467</v>
      </c>
      <c r="G53" s="370">
        <f>SUM(G39:G52)</f>
        <v>0</v>
      </c>
      <c r="H53" s="370">
        <f>SUM(H39:H52)</f>
        <v>0</v>
      </c>
      <c r="I53" s="489">
        <f>SUM(I39:I52)</f>
        <v>0</v>
      </c>
      <c r="J53" s="193"/>
    </row>
    <row r="54" spans="1:10" ht="12" thickBot="1" x14ac:dyDescent="0.25">
      <c r="A54" s="164">
        <f t="shared" si="0"/>
        <v>44</v>
      </c>
      <c r="B54" s="308" t="s">
        <v>469</v>
      </c>
      <c r="C54" s="309">
        <f>C34+C53</f>
        <v>411574</v>
      </c>
      <c r="D54" s="309">
        <f>D34+D53</f>
        <v>90841</v>
      </c>
      <c r="E54" s="983">
        <f>E34+E53</f>
        <v>502415</v>
      </c>
      <c r="F54" s="523" t="s">
        <v>468</v>
      </c>
      <c r="G54" s="524">
        <f>G34+G53</f>
        <v>411574</v>
      </c>
      <c r="H54" s="525">
        <f>H34+H53</f>
        <v>90841</v>
      </c>
      <c r="I54" s="522">
        <f>I34+I53</f>
        <v>502415</v>
      </c>
      <c r="J54" s="295"/>
    </row>
    <row r="55" spans="1:10" x14ac:dyDescent="0.2">
      <c r="B55" s="183"/>
      <c r="C55" s="182"/>
      <c r="D55" s="182"/>
      <c r="E55" s="182"/>
      <c r="F55" s="182"/>
      <c r="G55" s="192"/>
      <c r="H55" s="192"/>
      <c r="I55" s="192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131" t="s">
        <v>1228</v>
      </c>
      <c r="C1" s="1131"/>
      <c r="D1" s="1131"/>
      <c r="E1" s="1131"/>
      <c r="F1" s="1131"/>
      <c r="G1" s="1131"/>
      <c r="H1" s="1131"/>
      <c r="I1" s="1131"/>
      <c r="J1" s="768"/>
    </row>
    <row r="2" spans="1:25" x14ac:dyDescent="0.2">
      <c r="B2" s="593"/>
      <c r="I2" s="159"/>
    </row>
    <row r="3" spans="1:25" s="122" customFormat="1" x14ac:dyDescent="0.2">
      <c r="A3" s="160"/>
      <c r="B3" s="1134" t="s">
        <v>54</v>
      </c>
      <c r="C3" s="1134"/>
      <c r="D3" s="1134"/>
      <c r="E3" s="1134"/>
      <c r="F3" s="1134"/>
      <c r="G3" s="1134"/>
      <c r="H3" s="1134"/>
      <c r="I3" s="113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134" t="s">
        <v>1124</v>
      </c>
      <c r="C4" s="1134"/>
      <c r="D4" s="1134"/>
      <c r="E4" s="1134"/>
      <c r="F4" s="1134"/>
      <c r="G4" s="1134"/>
      <c r="H4" s="1134"/>
      <c r="I4" s="113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147" t="s">
        <v>326</v>
      </c>
      <c r="B5" s="1147"/>
      <c r="C5" s="1147"/>
      <c r="D5" s="1147"/>
      <c r="E5" s="1147"/>
      <c r="F5" s="1147"/>
      <c r="G5" s="1147"/>
      <c r="H5" s="1147"/>
      <c r="I5" s="114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148" t="s">
        <v>56</v>
      </c>
      <c r="B6" s="1149" t="s">
        <v>57</v>
      </c>
      <c r="C6" s="1150" t="s">
        <v>58</v>
      </c>
      <c r="D6" s="1150"/>
      <c r="E6" s="1151"/>
      <c r="F6" s="1152" t="s">
        <v>59</v>
      </c>
      <c r="G6" s="1153" t="s">
        <v>60</v>
      </c>
      <c r="H6" s="1154"/>
      <c r="I6" s="1154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148"/>
      <c r="B7" s="1149"/>
      <c r="C7" s="1145" t="s">
        <v>1125</v>
      </c>
      <c r="D7" s="1145"/>
      <c r="E7" s="1146"/>
      <c r="F7" s="1152"/>
      <c r="G7" s="1145" t="s">
        <v>1125</v>
      </c>
      <c r="H7" s="1145"/>
      <c r="I7" s="1146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148"/>
      <c r="B8" s="910" t="s">
        <v>61</v>
      </c>
      <c r="C8" s="911" t="s">
        <v>62</v>
      </c>
      <c r="D8" s="911" t="s">
        <v>63</v>
      </c>
      <c r="E8" s="912" t="s">
        <v>64</v>
      </c>
      <c r="F8" s="913" t="s">
        <v>65</v>
      </c>
      <c r="G8" s="366" t="s">
        <v>62</v>
      </c>
      <c r="H8" s="366" t="s">
        <v>63</v>
      </c>
      <c r="I8" s="366" t="s">
        <v>64</v>
      </c>
      <c r="J8" s="612"/>
      <c r="K8" s="190"/>
      <c r="L8" s="190"/>
      <c r="M8" s="190"/>
      <c r="N8" s="190"/>
      <c r="O8" s="190"/>
      <c r="P8" s="190"/>
      <c r="Q8" s="190"/>
      <c r="R8" s="190"/>
      <c r="S8" s="190"/>
    </row>
    <row r="9" spans="1:25" ht="11.45" customHeight="1" x14ac:dyDescent="0.2">
      <c r="A9" s="914">
        <v>1</v>
      </c>
      <c r="B9" s="915" t="s">
        <v>24</v>
      </c>
      <c r="C9" s="916"/>
      <c r="D9" s="916"/>
      <c r="E9" s="916"/>
      <c r="F9" s="917" t="s">
        <v>25</v>
      </c>
      <c r="G9" s="371"/>
      <c r="H9" s="371"/>
      <c r="I9" s="482"/>
      <c r="J9" s="184"/>
      <c r="T9" s="10"/>
      <c r="U9" s="10"/>
      <c r="V9" s="10"/>
      <c r="W9" s="10"/>
      <c r="X9" s="10"/>
      <c r="Y9" s="10"/>
    </row>
    <row r="10" spans="1:25" x14ac:dyDescent="0.2">
      <c r="A10" s="914">
        <f>A9+1</f>
        <v>2</v>
      </c>
      <c r="B10" s="81" t="s">
        <v>35</v>
      </c>
      <c r="C10" s="301"/>
      <c r="D10" s="301"/>
      <c r="E10" s="289">
        <f>SUM(C10:D10)</f>
        <v>0</v>
      </c>
      <c r="F10" s="516" t="s">
        <v>26</v>
      </c>
      <c r="G10" s="289">
        <f>Össz.önkor.mérleg.!G10</f>
        <v>572377</v>
      </c>
      <c r="H10" s="289">
        <f>Össz.önkor.mérleg.!H10</f>
        <v>339424</v>
      </c>
      <c r="I10" s="484">
        <f>Össz.önkor.mérleg.!I10</f>
        <v>911801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914">
        <f t="shared" ref="A11:A45" si="0">A10+1</f>
        <v>3</v>
      </c>
      <c r="B11" s="81" t="s">
        <v>36</v>
      </c>
      <c r="C11" s="301">
        <f>Össz.önkor.mérleg.!C11</f>
        <v>722724</v>
      </c>
      <c r="D11" s="301">
        <f>Össz.önkor.mérleg.!D11</f>
        <v>93769</v>
      </c>
      <c r="E11" s="301">
        <f>Össz.önkor.mérleg.!E11</f>
        <v>816493</v>
      </c>
      <c r="F11" s="516" t="s">
        <v>27</v>
      </c>
      <c r="G11" s="289">
        <f>Össz.önkor.mérleg.!G11</f>
        <v>127623</v>
      </c>
      <c r="H11" s="289">
        <f>Össz.önkor.mérleg.!H11</f>
        <v>82522.320000000007</v>
      </c>
      <c r="I11" s="484">
        <f>Össz.önkor.mérleg.!I11</f>
        <v>210145.32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914">
        <f t="shared" si="0"/>
        <v>4</v>
      </c>
      <c r="B12" s="81" t="s">
        <v>983</v>
      </c>
      <c r="C12" s="301">
        <f>Össz.önkor.mérleg.!C12</f>
        <v>0</v>
      </c>
      <c r="D12" s="301">
        <f>Össz.önkor.mérleg.!D12</f>
        <v>0</v>
      </c>
      <c r="E12" s="301">
        <f>Össz.önkor.mérleg.!E12</f>
        <v>0</v>
      </c>
      <c r="F12" s="516" t="s">
        <v>29</v>
      </c>
      <c r="G12" s="289">
        <f>Össz.önkor.mérleg.!G12</f>
        <v>537209</v>
      </c>
      <c r="H12" s="289">
        <f>Össz.önkor.mérleg.!H12</f>
        <v>491733</v>
      </c>
      <c r="I12" s="484">
        <f>Össz.önkor.mérleg.!I12</f>
        <v>1028942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914">
        <f t="shared" si="0"/>
        <v>5</v>
      </c>
      <c r="B13" s="81" t="s">
        <v>37</v>
      </c>
      <c r="C13" s="301">
        <f>Össz.önkor.mérleg.!C13</f>
        <v>31548</v>
      </c>
      <c r="D13" s="301">
        <f>Össz.önkor.mérleg.!D13</f>
        <v>0</v>
      </c>
      <c r="E13" s="301">
        <f>Össz.önkor.mérleg.!E13</f>
        <v>31548</v>
      </c>
      <c r="F13" s="516"/>
      <c r="G13" s="289">
        <f>Össz.önkor.mérleg.!G13</f>
        <v>0</v>
      </c>
      <c r="H13" s="301"/>
      <c r="I13" s="483"/>
      <c r="J13" s="184"/>
      <c r="T13" s="10"/>
      <c r="U13" s="10"/>
      <c r="V13" s="10"/>
      <c r="W13" s="10"/>
      <c r="X13" s="10"/>
      <c r="Y13" s="10"/>
    </row>
    <row r="14" spans="1:25" x14ac:dyDescent="0.2">
      <c r="A14" s="914">
        <f t="shared" si="0"/>
        <v>6</v>
      </c>
      <c r="B14" s="81" t="s">
        <v>39</v>
      </c>
      <c r="C14" s="301">
        <f>Össz.önkor.mérleg.!C16</f>
        <v>543007</v>
      </c>
      <c r="D14" s="301">
        <f>Össz.önkor.mérleg.!D16</f>
        <v>692313</v>
      </c>
      <c r="E14" s="301">
        <f>Össz.önkor.mérleg.!E16</f>
        <v>1235320</v>
      </c>
      <c r="F14" s="516" t="s">
        <v>28</v>
      </c>
      <c r="G14" s="289">
        <f>Össz.önkor.mérleg.!G14</f>
        <v>350</v>
      </c>
      <c r="H14" s="289">
        <f>Össz.önkor.mérleg.!H14</f>
        <v>13750</v>
      </c>
      <c r="I14" s="484">
        <f>Össz.önkor.mérleg.!I14</f>
        <v>14100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914">
        <f t="shared" si="0"/>
        <v>7</v>
      </c>
      <c r="B15" s="81"/>
      <c r="C15" s="301"/>
      <c r="D15" s="301"/>
      <c r="E15" s="289"/>
      <c r="F15" s="516" t="s">
        <v>30</v>
      </c>
      <c r="G15" s="289">
        <f>Össz.önkor.mérleg.!G15</f>
        <v>0</v>
      </c>
      <c r="H15" s="296"/>
      <c r="I15" s="483"/>
      <c r="J15" s="184"/>
      <c r="T15" s="10"/>
      <c r="U15" s="10"/>
      <c r="V15" s="10"/>
      <c r="W15" s="10"/>
      <c r="X15" s="10"/>
      <c r="Y15" s="10"/>
    </row>
    <row r="16" spans="1:25" x14ac:dyDescent="0.2">
      <c r="A16" s="914">
        <f t="shared" si="0"/>
        <v>8</v>
      </c>
      <c r="B16" s="80" t="s">
        <v>41</v>
      </c>
      <c r="C16" s="367">
        <f>Össz.önkor.mérleg.!C19</f>
        <v>164294</v>
      </c>
      <c r="D16" s="367">
        <f>Össz.önkor.mérleg.!D19</f>
        <v>193382</v>
      </c>
      <c r="E16" s="367">
        <f>Össz.önkor.mérleg.!E19</f>
        <v>357676</v>
      </c>
      <c r="F16" s="516" t="s">
        <v>472</v>
      </c>
      <c r="G16" s="289">
        <f>Össz.önkor.mérleg.!G16</f>
        <v>7750</v>
      </c>
      <c r="H16" s="289">
        <f>Össz.önkor.mérleg.!H16</f>
        <v>40162</v>
      </c>
      <c r="I16" s="484">
        <f>Össz.önkor.mérleg.!I16</f>
        <v>47912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914">
        <f t="shared" si="0"/>
        <v>9</v>
      </c>
      <c r="B17" s="875" t="s">
        <v>40</v>
      </c>
      <c r="C17" s="367"/>
      <c r="D17" s="367"/>
      <c r="E17" s="367"/>
      <c r="F17" s="516" t="s">
        <v>471</v>
      </c>
      <c r="G17" s="289">
        <f>Össz.önkor.mérleg.!G17</f>
        <v>266185</v>
      </c>
      <c r="H17" s="289">
        <f>Össz.önkor.mérleg.!H17</f>
        <v>19908</v>
      </c>
      <c r="I17" s="484">
        <f>Össz.önkor.mérleg.!I17</f>
        <v>286093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914">
        <f t="shared" si="0"/>
        <v>10</v>
      </c>
      <c r="B18" s="875"/>
      <c r="C18" s="367"/>
      <c r="D18" s="367"/>
      <c r="E18" s="367"/>
      <c r="F18" s="516" t="s">
        <v>205</v>
      </c>
      <c r="G18" s="289">
        <f>Össz.önkor.mérleg.!G18</f>
        <v>451</v>
      </c>
      <c r="H18" s="289">
        <f>Össz.önkor.mérleg.!H18</f>
        <v>0</v>
      </c>
      <c r="I18" s="289">
        <f>Össz.önkor.mérleg.!I18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914">
        <f t="shared" si="0"/>
        <v>11</v>
      </c>
      <c r="B19" s="10" t="s">
        <v>50</v>
      </c>
      <c r="C19" s="294">
        <f>Össz.önkor.mérleg.!C28</f>
        <v>0</v>
      </c>
      <c r="D19" s="294">
        <f>Össz.önkor.mérleg.!D28</f>
        <v>0</v>
      </c>
      <c r="E19" s="294">
        <f>Össz.önkor.mérleg.!E28</f>
        <v>0</v>
      </c>
      <c r="F19" s="516" t="s">
        <v>464</v>
      </c>
      <c r="G19" s="289">
        <f>Össz.önkor.mérleg.!G19</f>
        <v>0</v>
      </c>
      <c r="H19" s="289">
        <f>Össz.önkor.mérleg.!H19</f>
        <v>65088</v>
      </c>
      <c r="I19" s="484">
        <f>Össz.önkor.mérleg.!I19</f>
        <v>65088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914">
        <f t="shared" si="0"/>
        <v>12</v>
      </c>
      <c r="B20" s="10"/>
      <c r="C20" s="367"/>
      <c r="D20" s="367"/>
      <c r="E20" s="367"/>
      <c r="F20" s="516" t="s">
        <v>465</v>
      </c>
      <c r="G20" s="289">
        <f>Össz.önkor.mérleg.!G20</f>
        <v>20000</v>
      </c>
      <c r="H20" s="289">
        <f>Össz.önkor.mérleg.!H20</f>
        <v>0</v>
      </c>
      <c r="I20" s="484">
        <f>Össz.önkor.mérleg.!I20</f>
        <v>20000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914">
        <f t="shared" si="0"/>
        <v>13</v>
      </c>
      <c r="B21" s="10"/>
      <c r="C21" s="367"/>
      <c r="D21" s="367"/>
      <c r="E21" s="367"/>
      <c r="F21" s="516"/>
      <c r="G21" s="289"/>
      <c r="H21" s="296"/>
      <c r="I21" s="483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914">
        <f t="shared" si="0"/>
        <v>14</v>
      </c>
      <c r="B22" s="12" t="s">
        <v>52</v>
      </c>
      <c r="C22" s="918">
        <f>SUM(C11:C20)</f>
        <v>1461573</v>
      </c>
      <c r="D22" s="918">
        <f>SUM(D11:D20)</f>
        <v>979464</v>
      </c>
      <c r="E22" s="918">
        <f>SUM(E11:E20)</f>
        <v>2441037</v>
      </c>
      <c r="F22" s="903" t="s">
        <v>66</v>
      </c>
      <c r="G22" s="368">
        <f>SUM(G10:G21)</f>
        <v>1531945</v>
      </c>
      <c r="H22" s="368">
        <f>SUM(H10:H21)</f>
        <v>1052587.32</v>
      </c>
      <c r="I22" s="486">
        <f>SUM(I10:I21)</f>
        <v>2584532.3200000003</v>
      </c>
      <c r="J22" s="554"/>
      <c r="K22" s="191"/>
      <c r="L22" s="191"/>
      <c r="M22" s="191"/>
      <c r="N22" s="191"/>
      <c r="O22" s="191"/>
      <c r="P22" s="191"/>
      <c r="Q22" s="191"/>
      <c r="R22" s="191"/>
      <c r="S22" s="191"/>
    </row>
    <row r="23" spans="1:25" s="124" customFormat="1" x14ac:dyDescent="0.2">
      <c r="A23" s="914">
        <f t="shared" si="0"/>
        <v>15</v>
      </c>
      <c r="B23" s="10"/>
      <c r="C23" s="367"/>
      <c r="D23" s="367"/>
      <c r="E23" s="367"/>
      <c r="F23" s="628"/>
      <c r="G23" s="296"/>
      <c r="H23" s="296"/>
      <c r="I23" s="485"/>
      <c r="J23" s="554"/>
      <c r="K23" s="191"/>
      <c r="L23" s="191"/>
      <c r="M23" s="191"/>
      <c r="N23" s="191"/>
      <c r="O23" s="191"/>
      <c r="P23" s="191"/>
      <c r="Q23" s="191"/>
      <c r="R23" s="191"/>
      <c r="S23" s="191"/>
    </row>
    <row r="24" spans="1:25" x14ac:dyDescent="0.2">
      <c r="A24" s="914">
        <f t="shared" si="0"/>
        <v>16</v>
      </c>
      <c r="B24" s="919" t="s">
        <v>51</v>
      </c>
      <c r="C24" s="902">
        <f>SUM(C22:C23)</f>
        <v>1461573</v>
      </c>
      <c r="D24" s="902">
        <f>SUM(D22:D23)</f>
        <v>979464</v>
      </c>
      <c r="E24" s="902">
        <f>SUM(E22:E23)</f>
        <v>2441037</v>
      </c>
      <c r="F24" s="906" t="s">
        <v>69</v>
      </c>
      <c r="G24" s="192">
        <f>SUM(G22:G23)</f>
        <v>1531945</v>
      </c>
      <c r="H24" s="192">
        <f>SUM(H22:H23)</f>
        <v>1052587.32</v>
      </c>
      <c r="I24" s="458">
        <f>SUM(I22:I23)</f>
        <v>2584532.3200000003</v>
      </c>
      <c r="J24" s="184"/>
      <c r="T24" s="10"/>
      <c r="U24" s="10"/>
      <c r="V24" s="10"/>
      <c r="W24" s="10"/>
      <c r="X24" s="10"/>
      <c r="Y24" s="10"/>
    </row>
    <row r="25" spans="1:25" x14ac:dyDescent="0.2">
      <c r="A25" s="914">
        <f t="shared" si="0"/>
        <v>17</v>
      </c>
      <c r="B25" s="81"/>
      <c r="C25" s="367"/>
      <c r="D25" s="367"/>
      <c r="E25" s="367"/>
      <c r="F25" s="628"/>
      <c r="G25" s="296"/>
      <c r="H25" s="296"/>
      <c r="I25" s="485"/>
      <c r="J25" s="184"/>
      <c r="T25" s="10"/>
      <c r="U25" s="10"/>
      <c r="V25" s="10"/>
      <c r="W25" s="10"/>
      <c r="X25" s="10"/>
      <c r="Y25" s="10"/>
    </row>
    <row r="26" spans="1:25" x14ac:dyDescent="0.2">
      <c r="A26" s="920">
        <f t="shared" si="0"/>
        <v>18</v>
      </c>
      <c r="B26" s="921" t="s">
        <v>669</v>
      </c>
      <c r="C26" s="663">
        <f>C24-G24</f>
        <v>-70372</v>
      </c>
      <c r="D26" s="663">
        <f t="shared" ref="D26:E26" si="1">D24-H24</f>
        <v>-73123.320000000065</v>
      </c>
      <c r="E26" s="663">
        <f t="shared" si="1"/>
        <v>-143495.3200000003</v>
      </c>
      <c r="F26" s="904"/>
      <c r="G26" s="370"/>
      <c r="H26" s="370"/>
      <c r="I26" s="485"/>
      <c r="J26" s="184"/>
      <c r="T26" s="10"/>
      <c r="U26" s="10"/>
      <c r="V26" s="10"/>
      <c r="W26" s="10"/>
      <c r="X26" s="10"/>
      <c r="Y26" s="10"/>
    </row>
    <row r="27" spans="1:25" x14ac:dyDescent="0.2">
      <c r="A27" s="920">
        <f t="shared" si="0"/>
        <v>19</v>
      </c>
      <c r="B27" s="81"/>
      <c r="C27" s="289"/>
      <c r="D27" s="289"/>
      <c r="E27" s="289"/>
      <c r="F27" s="516"/>
      <c r="G27" s="296"/>
      <c r="H27" s="296"/>
      <c r="I27" s="485"/>
      <c r="J27" s="184"/>
      <c r="T27" s="10"/>
      <c r="U27" s="10"/>
      <c r="V27" s="10"/>
      <c r="W27" s="10"/>
      <c r="X27" s="10"/>
      <c r="Y27" s="10"/>
    </row>
    <row r="28" spans="1:25" x14ac:dyDescent="0.2">
      <c r="A28" s="920">
        <f t="shared" si="0"/>
        <v>20</v>
      </c>
      <c r="B28" s="663" t="s">
        <v>53</v>
      </c>
      <c r="C28" s="663"/>
      <c r="D28" s="663"/>
      <c r="E28" s="663"/>
      <c r="F28" s="904" t="s">
        <v>33</v>
      </c>
      <c r="G28" s="296"/>
      <c r="H28" s="296"/>
      <c r="I28" s="485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920">
        <f t="shared" si="0"/>
        <v>21</v>
      </c>
      <c r="B29" s="922" t="s">
        <v>726</v>
      </c>
      <c r="C29" s="663"/>
      <c r="D29" s="663"/>
      <c r="E29" s="663"/>
      <c r="F29" s="907" t="s">
        <v>4</v>
      </c>
      <c r="G29" s="296"/>
      <c r="H29" s="296"/>
      <c r="I29" s="485"/>
      <c r="J29" s="554"/>
      <c r="K29" s="191"/>
      <c r="L29" s="191"/>
      <c r="M29" s="191"/>
      <c r="N29" s="191"/>
      <c r="O29" s="191"/>
      <c r="P29" s="191"/>
      <c r="Q29" s="191"/>
      <c r="R29" s="191"/>
      <c r="S29" s="191"/>
    </row>
    <row r="30" spans="1:25" ht="21.75" x14ac:dyDescent="0.2">
      <c r="A30" s="920">
        <f t="shared" si="0"/>
        <v>22</v>
      </c>
      <c r="B30" s="986" t="s">
        <v>1082</v>
      </c>
      <c r="C30" s="289">
        <f>Össz.önkor.mérleg.!C39</f>
        <v>1243160</v>
      </c>
      <c r="D30" s="289">
        <f>Össz.önkor.mérleg.!D39</f>
        <v>0</v>
      </c>
      <c r="E30" s="289">
        <f>Össz.önkor.mérleg.!E39</f>
        <v>1243160</v>
      </c>
      <c r="F30" s="193" t="s">
        <v>3</v>
      </c>
      <c r="G30" s="296"/>
      <c r="H30" s="296"/>
      <c r="I30" s="485"/>
      <c r="J30" s="184"/>
      <c r="T30" s="10"/>
      <c r="U30" s="10"/>
      <c r="V30" s="10"/>
      <c r="W30" s="10"/>
      <c r="X30" s="10"/>
      <c r="Y30" s="10"/>
    </row>
    <row r="31" spans="1:25" x14ac:dyDescent="0.2">
      <c r="A31" s="920">
        <f t="shared" si="0"/>
        <v>23</v>
      </c>
      <c r="B31" s="10" t="s">
        <v>1080</v>
      </c>
      <c r="C31" s="663">
        <f>-997160-244511-1489</f>
        <v>-1243160</v>
      </c>
      <c r="D31" s="663">
        <v>0</v>
      </c>
      <c r="E31" s="289">
        <f>C31+D31</f>
        <v>-1243160</v>
      </c>
      <c r="F31" s="193"/>
      <c r="G31" s="296"/>
      <c r="H31" s="296"/>
      <c r="I31" s="485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920">
        <f t="shared" si="0"/>
        <v>24</v>
      </c>
      <c r="B32" s="301" t="s">
        <v>677</v>
      </c>
      <c r="C32" s="908"/>
      <c r="D32" s="909"/>
      <c r="E32" s="909">
        <f>SUM(C32:D32)</f>
        <v>0</v>
      </c>
      <c r="F32" s="516" t="s">
        <v>5</v>
      </c>
      <c r="G32" s="294"/>
      <c r="H32" s="294"/>
      <c r="I32" s="485"/>
      <c r="J32" s="532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920">
        <f t="shared" si="0"/>
        <v>25</v>
      </c>
      <c r="B33" s="301" t="s">
        <v>727</v>
      </c>
      <c r="C33" s="289"/>
      <c r="D33" s="289"/>
      <c r="E33" s="289"/>
      <c r="F33" s="516" t="s">
        <v>6</v>
      </c>
      <c r="G33" s="369"/>
      <c r="H33" s="369"/>
      <c r="I33" s="487"/>
      <c r="J33" s="184"/>
      <c r="T33" s="10"/>
      <c r="U33" s="10"/>
      <c r="V33" s="10"/>
      <c r="W33" s="10"/>
      <c r="X33" s="10"/>
      <c r="Y33" s="10"/>
    </row>
    <row r="34" spans="1:25" x14ac:dyDescent="0.2">
      <c r="A34" s="920">
        <f t="shared" si="0"/>
        <v>26</v>
      </c>
      <c r="B34" s="301" t="s">
        <v>679</v>
      </c>
      <c r="C34" s="289">
        <f>Össz.önkor.mérleg.!C42</f>
        <v>1193985</v>
      </c>
      <c r="D34" s="289">
        <f>Össz.önkor.mérleg.!D42</f>
        <v>160130</v>
      </c>
      <c r="E34" s="289">
        <f>SUM(C34:D34)</f>
        <v>1354115</v>
      </c>
      <c r="F34" s="516" t="s">
        <v>7</v>
      </c>
      <c r="G34" s="370"/>
      <c r="H34" s="370"/>
      <c r="I34" s="458"/>
      <c r="J34" s="184"/>
      <c r="T34" s="10"/>
      <c r="U34" s="10"/>
      <c r="V34" s="10"/>
      <c r="W34" s="10"/>
      <c r="X34" s="10"/>
      <c r="Y34" s="10"/>
    </row>
    <row r="35" spans="1:25" x14ac:dyDescent="0.2">
      <c r="A35" s="920">
        <f t="shared" si="0"/>
        <v>27</v>
      </c>
      <c r="B35" s="301" t="s">
        <v>1014</v>
      </c>
      <c r="C35" s="289">
        <f>Össz.önkor.mérleg.!C43</f>
        <v>0</v>
      </c>
      <c r="D35" s="289">
        <f>Össz.önkor.mérleg.!D43</f>
        <v>0</v>
      </c>
      <c r="E35" s="289">
        <f>Össz.önkor.mérleg.!E43</f>
        <v>0</v>
      </c>
      <c r="F35" s="516"/>
      <c r="G35" s="370"/>
      <c r="H35" s="370"/>
      <c r="I35" s="458"/>
      <c r="J35" s="184"/>
      <c r="T35" s="10"/>
      <c r="U35" s="10"/>
      <c r="V35" s="10"/>
      <c r="W35" s="10"/>
      <c r="X35" s="10"/>
      <c r="Y35" s="10"/>
    </row>
    <row r="36" spans="1:25" x14ac:dyDescent="0.2">
      <c r="A36" s="920">
        <f t="shared" si="0"/>
        <v>28</v>
      </c>
      <c r="B36" s="80" t="s">
        <v>678</v>
      </c>
      <c r="C36" s="289">
        <f>-'felhalm. mérleg'!C33</f>
        <v>-1095920</v>
      </c>
      <c r="D36" s="289">
        <f>-'felhalm. mérleg'!D33</f>
        <v>-83256</v>
      </c>
      <c r="E36" s="289">
        <f>-'felhalm. mérleg'!E33</f>
        <v>-1179176</v>
      </c>
      <c r="F36" s="516" t="s">
        <v>8</v>
      </c>
      <c r="G36" s="296"/>
      <c r="H36" s="296"/>
      <c r="I36" s="485"/>
      <c r="J36" s="184"/>
      <c r="T36" s="10"/>
      <c r="U36" s="10"/>
      <c r="V36" s="10"/>
      <c r="W36" s="10"/>
      <c r="X36" s="10"/>
      <c r="Y36" s="10"/>
    </row>
    <row r="37" spans="1:25" x14ac:dyDescent="0.2">
      <c r="A37" s="920">
        <f t="shared" si="0"/>
        <v>29</v>
      </c>
      <c r="B37" s="289" t="s">
        <v>729</v>
      </c>
      <c r="C37" s="663"/>
      <c r="D37" s="663"/>
      <c r="E37" s="663"/>
      <c r="F37" s="516" t="s">
        <v>9</v>
      </c>
      <c r="G37" s="368">
        <f>Össz.önkor.mérleg.!G45</f>
        <v>27693</v>
      </c>
      <c r="H37" s="368">
        <f>Össz.önkor.mérleg.!H45</f>
        <v>3751</v>
      </c>
      <c r="I37" s="486">
        <f>Össz.önkor.mérleg.!I45</f>
        <v>31444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920">
        <f t="shared" si="0"/>
        <v>30</v>
      </c>
      <c r="B38" s="289" t="s">
        <v>730</v>
      </c>
      <c r="C38" s="289"/>
      <c r="D38" s="289"/>
      <c r="E38" s="289"/>
      <c r="F38" s="516" t="s">
        <v>10</v>
      </c>
      <c r="G38" s="296"/>
      <c r="H38" s="296"/>
      <c r="I38" s="485"/>
      <c r="J38" s="532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920">
        <f t="shared" si="0"/>
        <v>31</v>
      </c>
      <c r="B39" s="301" t="s">
        <v>731</v>
      </c>
      <c r="C39" s="289"/>
      <c r="D39" s="289"/>
      <c r="E39" s="289"/>
      <c r="F39" s="516" t="s">
        <v>11</v>
      </c>
      <c r="G39" s="370"/>
      <c r="H39" s="370"/>
      <c r="I39" s="458"/>
      <c r="J39" s="532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920">
        <f t="shared" si="0"/>
        <v>32</v>
      </c>
      <c r="B40" s="301" t="s">
        <v>732</v>
      </c>
      <c r="C40" s="289"/>
      <c r="D40" s="289"/>
      <c r="E40" s="289"/>
      <c r="F40" s="516" t="s">
        <v>12</v>
      </c>
      <c r="G40" s="192"/>
      <c r="I40" s="488"/>
      <c r="J40" s="532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920">
        <f t="shared" si="0"/>
        <v>33</v>
      </c>
      <c r="B41" s="301" t="s">
        <v>0</v>
      </c>
      <c r="C41" s="289"/>
      <c r="D41" s="289"/>
      <c r="E41" s="289"/>
      <c r="F41" s="516" t="s">
        <v>13</v>
      </c>
      <c r="G41" s="370"/>
      <c r="H41" s="370"/>
      <c r="I41" s="458"/>
      <c r="J41" s="532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920">
        <f t="shared" si="0"/>
        <v>34</v>
      </c>
      <c r="B42" s="301" t="s">
        <v>1</v>
      </c>
      <c r="C42" s="289">
        <f>Össz.önkor.mérleg.!C49</f>
        <v>0</v>
      </c>
      <c r="D42" s="289">
        <f>Össz.önkor.mérleg.!D49</f>
        <v>0</v>
      </c>
      <c r="E42" s="289">
        <f>Össz.önkor.mérleg.!E49</f>
        <v>0</v>
      </c>
      <c r="F42" s="516" t="s">
        <v>14</v>
      </c>
      <c r="G42" s="370"/>
      <c r="H42" s="370"/>
      <c r="I42" s="458"/>
      <c r="J42" s="184"/>
      <c r="T42" s="10"/>
      <c r="U42" s="10"/>
      <c r="V42" s="10"/>
      <c r="W42" s="10"/>
      <c r="X42" s="10"/>
      <c r="Y42" s="10"/>
    </row>
    <row r="43" spans="1:25" x14ac:dyDescent="0.2">
      <c r="A43" s="920">
        <f t="shared" si="0"/>
        <v>35</v>
      </c>
      <c r="B43" s="301" t="s">
        <v>2</v>
      </c>
      <c r="C43" s="289"/>
      <c r="D43" s="289"/>
      <c r="E43" s="289"/>
      <c r="F43" s="516" t="s">
        <v>15</v>
      </c>
      <c r="G43" s="192"/>
      <c r="H43" s="192"/>
      <c r="I43" s="458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920">
        <f t="shared" si="0"/>
        <v>36</v>
      </c>
      <c r="B44" s="919" t="s">
        <v>474</v>
      </c>
      <c r="C44" s="663">
        <f>SUM(C29:C42)</f>
        <v>98065</v>
      </c>
      <c r="D44" s="663">
        <f>SUM(D29:D42)</f>
        <v>76874</v>
      </c>
      <c r="E44" s="663">
        <f>SUM(E29:E42)</f>
        <v>174939</v>
      </c>
      <c r="F44" s="904" t="s">
        <v>467</v>
      </c>
      <c r="G44" s="192">
        <f>SUM(G29:G43)</f>
        <v>27693</v>
      </c>
      <c r="H44" s="192">
        <f>SUM(H29:H43)</f>
        <v>3751</v>
      </c>
      <c r="I44" s="458">
        <f>SUM(I29:I43)</f>
        <v>31444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920">
        <f t="shared" si="0"/>
        <v>37</v>
      </c>
      <c r="B45" s="923" t="s">
        <v>469</v>
      </c>
      <c r="C45" s="924">
        <f>C24+C44</f>
        <v>1559638</v>
      </c>
      <c r="D45" s="924">
        <f>D24+D44</f>
        <v>1056338</v>
      </c>
      <c r="E45" s="924">
        <f>E24+E44</f>
        <v>2615976</v>
      </c>
      <c r="F45" s="925" t="s">
        <v>468</v>
      </c>
      <c r="G45" s="926">
        <f>G24+G44</f>
        <v>1559638</v>
      </c>
      <c r="H45" s="926">
        <f>H24+H44</f>
        <v>1056338.32</v>
      </c>
      <c r="I45" s="927">
        <f>I24+I44</f>
        <v>2615976.3200000003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94" customWidth="1"/>
    <col min="8" max="8" width="11.42578125" style="294" customWidth="1"/>
    <col min="9" max="9" width="12.85546875" style="294" customWidth="1"/>
    <col min="10" max="10" width="9.140625" style="157"/>
    <col min="11" max="16384" width="9.140625" style="10"/>
  </cols>
  <sheetData>
    <row r="1" spans="1:10" ht="12.75" x14ac:dyDescent="0.2">
      <c r="B1" s="1131" t="s">
        <v>1244</v>
      </c>
      <c r="C1" s="1179"/>
      <c r="D1" s="1179"/>
      <c r="E1" s="1179"/>
      <c r="F1" s="1179"/>
      <c r="G1" s="1179"/>
      <c r="H1" s="1179"/>
      <c r="I1" s="1179"/>
    </row>
    <row r="2" spans="1:10" x14ac:dyDescent="0.2">
      <c r="I2" s="365"/>
    </row>
    <row r="3" spans="1:10" x14ac:dyDescent="0.2">
      <c r="I3" s="365"/>
    </row>
    <row r="4" spans="1:10" s="122" customFormat="1" x14ac:dyDescent="0.2">
      <c r="A4" s="160"/>
      <c r="B4" s="1134" t="s">
        <v>78</v>
      </c>
      <c r="C4" s="1134"/>
      <c r="D4" s="1134"/>
      <c r="E4" s="1134"/>
      <c r="F4" s="1134"/>
      <c r="G4" s="1134"/>
      <c r="H4" s="1134"/>
      <c r="I4" s="1134"/>
      <c r="J4" s="160"/>
    </row>
    <row r="5" spans="1:10" s="122" customFormat="1" x14ac:dyDescent="0.2">
      <c r="A5" s="160"/>
      <c r="B5" s="1234" t="s">
        <v>197</v>
      </c>
      <c r="C5" s="1234"/>
      <c r="D5" s="1234"/>
      <c r="E5" s="1234"/>
      <c r="F5" s="1234"/>
      <c r="G5" s="1234"/>
      <c r="H5" s="1234"/>
      <c r="I5" s="1234"/>
      <c r="J5" s="160"/>
    </row>
    <row r="6" spans="1:10" s="122" customFormat="1" x14ac:dyDescent="0.2">
      <c r="A6" s="160"/>
      <c r="B6" s="1134" t="s">
        <v>1131</v>
      </c>
      <c r="C6" s="1134"/>
      <c r="D6" s="1134"/>
      <c r="E6" s="1134"/>
      <c r="F6" s="1134"/>
      <c r="G6" s="1134"/>
      <c r="H6" s="1134"/>
      <c r="I6" s="1134"/>
      <c r="J6" s="160"/>
    </row>
    <row r="7" spans="1:10" s="122" customFormat="1" x14ac:dyDescent="0.2">
      <c r="A7" s="160"/>
      <c r="B7" s="1135" t="s">
        <v>321</v>
      </c>
      <c r="C7" s="1135"/>
      <c r="D7" s="1135"/>
      <c r="E7" s="1135"/>
      <c r="F7" s="1135"/>
      <c r="G7" s="1135"/>
      <c r="H7" s="1135"/>
      <c r="I7" s="1135"/>
      <c r="J7" s="160"/>
    </row>
    <row r="8" spans="1:10" s="122" customFormat="1" ht="12.75" customHeight="1" x14ac:dyDescent="0.2">
      <c r="A8" s="1158" t="s">
        <v>56</v>
      </c>
      <c r="B8" s="1322" t="s">
        <v>57</v>
      </c>
      <c r="C8" s="1156" t="s">
        <v>58</v>
      </c>
      <c r="D8" s="1140"/>
      <c r="E8" s="1324"/>
      <c r="F8" s="1325" t="s">
        <v>59</v>
      </c>
      <c r="G8" s="1153" t="s">
        <v>60</v>
      </c>
      <c r="H8" s="1154"/>
      <c r="I8" s="1154"/>
      <c r="J8" s="629"/>
    </row>
    <row r="9" spans="1:10" s="122" customFormat="1" ht="12.75" customHeight="1" x14ac:dyDescent="0.2">
      <c r="A9" s="1159"/>
      <c r="B9" s="1323"/>
      <c r="C9" s="1133" t="s">
        <v>1125</v>
      </c>
      <c r="D9" s="1259"/>
      <c r="E9" s="1327"/>
      <c r="F9" s="1326"/>
      <c r="G9" s="1146" t="s">
        <v>1125</v>
      </c>
      <c r="H9" s="1328"/>
      <c r="I9" s="1329"/>
      <c r="J9" s="629"/>
    </row>
    <row r="10" spans="1:10" s="313" customFormat="1" ht="36.6" customHeight="1" x14ac:dyDescent="0.2">
      <c r="A10" s="1160"/>
      <c r="B10" s="311" t="s">
        <v>61</v>
      </c>
      <c r="C10" s="135" t="s">
        <v>62</v>
      </c>
      <c r="D10" s="135" t="s">
        <v>63</v>
      </c>
      <c r="E10" s="135" t="s">
        <v>64</v>
      </c>
      <c r="F10" s="297" t="s">
        <v>65</v>
      </c>
      <c r="G10" s="366" t="s">
        <v>62</v>
      </c>
      <c r="H10" s="366" t="s">
        <v>63</v>
      </c>
      <c r="I10" s="366" t="s">
        <v>64</v>
      </c>
      <c r="J10" s="636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71"/>
      <c r="H11" s="371"/>
      <c r="I11" s="482"/>
      <c r="J11" s="193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231</v>
      </c>
      <c r="G12" s="289">
        <v>85000</v>
      </c>
      <c r="H12" s="289">
        <v>2719</v>
      </c>
      <c r="I12" s="483">
        <f>SUM(G12:H12)</f>
        <v>87719</v>
      </c>
      <c r="J12" s="193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56" t="s">
        <v>232</v>
      </c>
      <c r="G13" s="289">
        <v>16138</v>
      </c>
      <c r="H13" s="289">
        <v>1160</v>
      </c>
      <c r="I13" s="483">
        <f>SUM(G13:H13)</f>
        <v>17298</v>
      </c>
      <c r="J13" s="193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233</v>
      </c>
      <c r="G14" s="289">
        <v>13994</v>
      </c>
      <c r="H14" s="289"/>
      <c r="I14" s="483">
        <f>SUM(G14:H14)</f>
        <v>13994</v>
      </c>
      <c r="J14" s="193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01"/>
      <c r="H15" s="301"/>
      <c r="I15" s="484"/>
      <c r="J15" s="193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6"/>
      <c r="H16" s="296"/>
      <c r="I16" s="485"/>
      <c r="J16" s="193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6"/>
      <c r="H17" s="296"/>
      <c r="I17" s="485"/>
      <c r="J17" s="193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472</v>
      </c>
      <c r="G18" s="296"/>
      <c r="H18" s="296"/>
      <c r="I18" s="485"/>
      <c r="J18" s="193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296"/>
      <c r="H19" s="296"/>
      <c r="I19" s="485"/>
      <c r="J19" s="193"/>
    </row>
    <row r="20" spans="1:10" x14ac:dyDescent="0.2">
      <c r="A20" s="164">
        <f t="shared" si="0"/>
        <v>10</v>
      </c>
      <c r="B20" s="116" t="s">
        <v>41</v>
      </c>
      <c r="C20" s="168"/>
      <c r="D20" s="168"/>
      <c r="E20" s="168">
        <f>SUM(C20:D20)</f>
        <v>0</v>
      </c>
      <c r="F20" s="158" t="s">
        <v>978</v>
      </c>
      <c r="G20" s="296"/>
      <c r="H20" s="296"/>
      <c r="I20" s="485"/>
      <c r="J20" s="193"/>
    </row>
    <row r="21" spans="1:10" x14ac:dyDescent="0.2">
      <c r="A21" s="164">
        <f t="shared" si="0"/>
        <v>11</v>
      </c>
      <c r="C21" s="168"/>
      <c r="D21" s="168"/>
      <c r="E21" s="168"/>
      <c r="F21" s="139" t="s">
        <v>979</v>
      </c>
      <c r="G21" s="296"/>
      <c r="H21" s="296"/>
      <c r="I21" s="485"/>
      <c r="J21" s="193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980</v>
      </c>
      <c r="G22" s="296"/>
      <c r="H22" s="296"/>
      <c r="I22" s="485"/>
      <c r="J22" s="631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6"/>
      <c r="H23" s="296"/>
      <c r="I23" s="485"/>
      <c r="J23" s="631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68">
        <f>SUM(G12:G22)</f>
        <v>115132</v>
      </c>
      <c r="H24" s="368">
        <f>SUM(H12:H22)</f>
        <v>3879</v>
      </c>
      <c r="I24" s="486">
        <f>SUM(I12:I22)</f>
        <v>119011</v>
      </c>
      <c r="J24" s="193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6"/>
      <c r="H25" s="296"/>
      <c r="I25" s="485"/>
      <c r="J25" s="193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70"/>
      <c r="H26" s="370"/>
      <c r="I26" s="485"/>
      <c r="J26" s="193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242</v>
      </c>
      <c r="G27" s="296">
        <f>'felhalm. kiad.  '!G116</f>
        <v>1400</v>
      </c>
      <c r="H27" s="296">
        <f>'felhalm. kiad.  '!H116</f>
        <v>0</v>
      </c>
      <c r="I27" s="485">
        <f>SUM(G27:H27)</f>
        <v>1400</v>
      </c>
      <c r="J27" s="193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6"/>
      <c r="H28" s="296"/>
      <c r="I28" s="485"/>
      <c r="J28" s="193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6"/>
      <c r="H29" s="296"/>
      <c r="I29" s="485"/>
      <c r="J29" s="193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296"/>
      <c r="H30" s="296"/>
      <c r="I30" s="485"/>
      <c r="J30" s="631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296"/>
      <c r="H31" s="296"/>
      <c r="I31" s="485"/>
      <c r="J31" s="193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466</v>
      </c>
      <c r="G32" s="294"/>
      <c r="H32" s="294"/>
      <c r="I32" s="485"/>
      <c r="J32" s="53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69">
        <f>SUM(G27:G32)</f>
        <v>1400</v>
      </c>
      <c r="H33" s="369">
        <f>SUM(H27:H32)</f>
        <v>0</v>
      </c>
      <c r="I33" s="487">
        <f>SUM(I27:I31)</f>
        <v>1400</v>
      </c>
      <c r="J33" s="193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70">
        <f>G24+G33</f>
        <v>116532</v>
      </c>
      <c r="H34" s="370">
        <f>H24+H33</f>
        <v>3879</v>
      </c>
      <c r="I34" s="458">
        <f>I24+I33</f>
        <v>120411</v>
      </c>
      <c r="J34" s="193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6"/>
      <c r="H35" s="296"/>
      <c r="I35" s="485"/>
      <c r="J35" s="193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68"/>
      <c r="H36" s="368"/>
      <c r="I36" s="486"/>
      <c r="J36" s="193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6"/>
      <c r="H37" s="296"/>
      <c r="I37" s="485"/>
      <c r="J37" s="531"/>
    </row>
    <row r="38" spans="1:10" s="11" customFormat="1" x14ac:dyDescent="0.2">
      <c r="A38" s="81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70"/>
      <c r="H38" s="370"/>
      <c r="I38" s="458"/>
      <c r="J38" s="531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92"/>
      <c r="I39" s="488"/>
      <c r="J39" s="531"/>
    </row>
    <row r="40" spans="1:10" s="11" customFormat="1" x14ac:dyDescent="0.2">
      <c r="A40" s="164">
        <f t="shared" si="0"/>
        <v>30</v>
      </c>
      <c r="B40" s="116" t="s">
        <v>1019</v>
      </c>
      <c r="C40" s="126"/>
      <c r="D40" s="126"/>
      <c r="E40" s="126"/>
      <c r="F40" s="557" t="s">
        <v>3</v>
      </c>
      <c r="G40" s="370"/>
      <c r="H40" s="370"/>
      <c r="I40" s="458"/>
      <c r="J40" s="531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370"/>
      <c r="H41" s="370"/>
      <c r="I41" s="458"/>
      <c r="J41" s="193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92"/>
      <c r="H42" s="192"/>
      <c r="I42" s="458"/>
      <c r="J42" s="193"/>
    </row>
    <row r="43" spans="1:10" x14ac:dyDescent="0.2">
      <c r="A43" s="164">
        <f t="shared" si="0"/>
        <v>33</v>
      </c>
      <c r="B43" s="555" t="s">
        <v>224</v>
      </c>
      <c r="C43" s="119"/>
      <c r="D43" s="119"/>
      <c r="E43" s="119">
        <f>C43+D43</f>
        <v>0</v>
      </c>
      <c r="F43" s="139" t="s">
        <v>7</v>
      </c>
      <c r="G43" s="192"/>
      <c r="H43" s="192"/>
      <c r="I43" s="458"/>
      <c r="J43" s="193"/>
    </row>
    <row r="44" spans="1:10" x14ac:dyDescent="0.2">
      <c r="A44" s="164">
        <f t="shared" si="0"/>
        <v>34</v>
      </c>
      <c r="B44" s="555" t="s">
        <v>1014</v>
      </c>
      <c r="C44" s="119"/>
      <c r="D44" s="119"/>
      <c r="E44" s="119"/>
      <c r="F44" s="139"/>
      <c r="G44" s="192"/>
      <c r="H44" s="192"/>
      <c r="I44" s="458"/>
      <c r="J44" s="193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370"/>
      <c r="H45" s="370"/>
      <c r="I45" s="485"/>
      <c r="J45" s="193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370"/>
      <c r="H46" s="370"/>
      <c r="I46" s="485"/>
      <c r="J46" s="193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296"/>
      <c r="H47" s="296"/>
      <c r="I47" s="485"/>
      <c r="J47" s="193"/>
    </row>
    <row r="48" spans="1:10" x14ac:dyDescent="0.2">
      <c r="A48" s="164">
        <f t="shared" si="0"/>
        <v>38</v>
      </c>
      <c r="B48" s="555" t="s">
        <v>228</v>
      </c>
      <c r="C48" s="119">
        <f>G24-(C34+C43)</f>
        <v>115132</v>
      </c>
      <c r="D48" s="119">
        <f>H24-(D34+D43)</f>
        <v>3879</v>
      </c>
      <c r="E48" s="119">
        <f>I24-(E34+E43)</f>
        <v>119011</v>
      </c>
      <c r="F48" s="139" t="s">
        <v>11</v>
      </c>
      <c r="G48" s="296"/>
      <c r="H48" s="296"/>
      <c r="I48" s="485"/>
      <c r="J48" s="193"/>
    </row>
    <row r="49" spans="1:10" x14ac:dyDescent="0.2">
      <c r="A49" s="164">
        <f t="shared" si="0"/>
        <v>39</v>
      </c>
      <c r="B49" s="555" t="s">
        <v>229</v>
      </c>
      <c r="C49" s="119">
        <f>G33-C33</f>
        <v>1400</v>
      </c>
      <c r="D49" s="119"/>
      <c r="E49" s="119">
        <f>I33-E33</f>
        <v>1400</v>
      </c>
      <c r="F49" s="139" t="s">
        <v>12</v>
      </c>
      <c r="G49" s="296"/>
      <c r="H49" s="296"/>
      <c r="I49" s="485"/>
      <c r="J49" s="193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6"/>
      <c r="H50" s="296"/>
      <c r="I50" s="485"/>
      <c r="J50" s="193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6"/>
      <c r="H51" s="296"/>
      <c r="I51" s="485"/>
      <c r="J51" s="193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6"/>
      <c r="H52" s="296"/>
      <c r="I52" s="485"/>
      <c r="J52" s="193"/>
    </row>
    <row r="53" spans="1:10" ht="12" thickBot="1" x14ac:dyDescent="0.25">
      <c r="A53" s="164">
        <f t="shared" si="0"/>
        <v>43</v>
      </c>
      <c r="B53" s="178" t="s">
        <v>474</v>
      </c>
      <c r="C53" s="340">
        <f>SUM(C39:C51)</f>
        <v>116532</v>
      </c>
      <c r="D53" s="340">
        <f>SUM(D39:D51)</f>
        <v>3879</v>
      </c>
      <c r="E53" s="340">
        <f>SUM(E39:E51)</f>
        <v>120411</v>
      </c>
      <c r="F53" s="140" t="s">
        <v>467</v>
      </c>
      <c r="G53" s="370">
        <f>SUM(G39:G52)</f>
        <v>0</v>
      </c>
      <c r="H53" s="370">
        <f>SUM(H39:H52)</f>
        <v>0</v>
      </c>
      <c r="I53" s="489">
        <f>SUM(I39:I52)</f>
        <v>0</v>
      </c>
      <c r="J53" s="193"/>
    </row>
    <row r="54" spans="1:10" ht="12" thickBot="1" x14ac:dyDescent="0.25">
      <c r="A54" s="164">
        <f t="shared" si="0"/>
        <v>44</v>
      </c>
      <c r="B54" s="186" t="s">
        <v>469</v>
      </c>
      <c r="C54" s="336">
        <f>C34+C53</f>
        <v>116532</v>
      </c>
      <c r="D54" s="336">
        <f>D34+D53</f>
        <v>3879</v>
      </c>
      <c r="E54" s="337">
        <f>E34+E53</f>
        <v>120411</v>
      </c>
      <c r="F54" s="523" t="s">
        <v>468</v>
      </c>
      <c r="G54" s="372">
        <f>G34+G53</f>
        <v>116532</v>
      </c>
      <c r="H54" s="373">
        <f>H34+H53</f>
        <v>3879</v>
      </c>
      <c r="I54" s="372">
        <f>I34+I53</f>
        <v>120411</v>
      </c>
      <c r="J54" s="10"/>
    </row>
    <row r="55" spans="1:10" x14ac:dyDescent="0.2">
      <c r="B55" s="183"/>
      <c r="C55" s="182"/>
      <c r="D55" s="182"/>
      <c r="E55" s="182"/>
      <c r="F55" s="182"/>
      <c r="G55" s="192"/>
      <c r="H55" s="192"/>
      <c r="I55" s="192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5"/>
  <sheetViews>
    <sheetView workbookViewId="0">
      <selection activeCell="O24" sqref="O24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94" customWidth="1"/>
    <col min="9" max="9" width="13.28515625" style="294" customWidth="1"/>
    <col min="10" max="10" width="9.140625" style="157"/>
    <col min="11" max="16384" width="9.140625" style="10"/>
  </cols>
  <sheetData>
    <row r="1" spans="1:10" ht="12.75" customHeight="1" x14ac:dyDescent="0.2">
      <c r="C1" s="1131" t="s">
        <v>1245</v>
      </c>
      <c r="D1" s="1131"/>
      <c r="E1" s="1131"/>
      <c r="F1" s="1131"/>
      <c r="G1" s="1131"/>
      <c r="H1" s="1131"/>
      <c r="I1" s="1131"/>
    </row>
    <row r="2" spans="1:10" x14ac:dyDescent="0.2">
      <c r="I2" s="365"/>
    </row>
    <row r="3" spans="1:10" x14ac:dyDescent="0.2">
      <c r="I3" s="365"/>
    </row>
    <row r="4" spans="1:10" s="122" customFormat="1" x14ac:dyDescent="0.2">
      <c r="A4" s="160"/>
      <c r="B4" s="1134" t="s">
        <v>78</v>
      </c>
      <c r="C4" s="1134"/>
      <c r="D4" s="1134"/>
      <c r="E4" s="1134"/>
      <c r="F4" s="1134"/>
      <c r="G4" s="1134"/>
      <c r="H4" s="1134"/>
      <c r="I4" s="1134"/>
      <c r="J4" s="160"/>
    </row>
    <row r="5" spans="1:10" s="122" customFormat="1" x14ac:dyDescent="0.2">
      <c r="A5" s="160"/>
      <c r="B5" s="1234" t="s">
        <v>734</v>
      </c>
      <c r="C5" s="1234"/>
      <c r="D5" s="1234"/>
      <c r="E5" s="1234"/>
      <c r="F5" s="1234"/>
      <c r="G5" s="1234"/>
      <c r="H5" s="1234"/>
      <c r="I5" s="1234"/>
      <c r="J5" s="160"/>
    </row>
    <row r="6" spans="1:10" s="122" customFormat="1" ht="12.75" customHeight="1" x14ac:dyDescent="0.2">
      <c r="A6" s="160"/>
      <c r="B6" s="1330" t="s">
        <v>1133</v>
      </c>
      <c r="C6" s="1330"/>
      <c r="D6" s="1330"/>
      <c r="E6" s="1330"/>
      <c r="F6" s="1330"/>
      <c r="G6" s="1330"/>
      <c r="H6" s="1330"/>
      <c r="I6" s="1330"/>
    </row>
    <row r="7" spans="1:10" s="122" customFormat="1" x14ac:dyDescent="0.2">
      <c r="A7" s="160"/>
      <c r="B7" s="1135" t="s">
        <v>321</v>
      </c>
      <c r="C7" s="1135"/>
      <c r="D7" s="1135"/>
      <c r="E7" s="1135"/>
      <c r="F7" s="1135"/>
      <c r="G7" s="1135"/>
      <c r="H7" s="1135"/>
      <c r="I7" s="1135"/>
      <c r="J7" s="160"/>
    </row>
    <row r="8" spans="1:10" s="122" customFormat="1" ht="12.75" customHeight="1" x14ac:dyDescent="0.2">
      <c r="A8" s="1139" t="s">
        <v>56</v>
      </c>
      <c r="B8" s="1140" t="s">
        <v>57</v>
      </c>
      <c r="C8" s="1156" t="s">
        <v>58</v>
      </c>
      <c r="D8" s="1140"/>
      <c r="E8" s="1324"/>
      <c r="F8" s="1157" t="s">
        <v>59</v>
      </c>
      <c r="G8" s="1153" t="s">
        <v>60</v>
      </c>
      <c r="H8" s="1154"/>
      <c r="I8" s="1154"/>
    </row>
    <row r="9" spans="1:10" s="122" customFormat="1" ht="12.75" customHeight="1" x14ac:dyDescent="0.2">
      <c r="A9" s="1139"/>
      <c r="B9" s="1140"/>
      <c r="C9" s="1133" t="s">
        <v>1125</v>
      </c>
      <c r="D9" s="1259"/>
      <c r="E9" s="1327"/>
      <c r="F9" s="1157"/>
      <c r="G9" s="1146" t="s">
        <v>1125</v>
      </c>
      <c r="H9" s="1328"/>
      <c r="I9" s="1329"/>
    </row>
    <row r="10" spans="1:10" s="123" customFormat="1" ht="36.6" customHeight="1" x14ac:dyDescent="0.2">
      <c r="A10" s="1139"/>
      <c r="B10" s="161" t="s">
        <v>61</v>
      </c>
      <c r="C10" s="135" t="s">
        <v>62</v>
      </c>
      <c r="D10" s="135" t="s">
        <v>63</v>
      </c>
      <c r="E10" s="135" t="s">
        <v>64</v>
      </c>
      <c r="F10" s="664" t="s">
        <v>65</v>
      </c>
      <c r="G10" s="135" t="s">
        <v>62</v>
      </c>
      <c r="H10" s="366" t="s">
        <v>63</v>
      </c>
      <c r="I10" s="366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71"/>
      <c r="I11" s="482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231</v>
      </c>
      <c r="G12" s="289">
        <v>50000</v>
      </c>
      <c r="H12" s="289">
        <f>36406+1935</f>
        <v>38341</v>
      </c>
      <c r="I12" s="483">
        <f>SUM(G12:H12)</f>
        <v>88341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232</v>
      </c>
      <c r="G13" s="289">
        <v>8783</v>
      </c>
      <c r="H13" s="289">
        <f>9182+392</f>
        <v>9574</v>
      </c>
      <c r="I13" s="483">
        <f>SUM(G13:H13)</f>
        <v>18357</v>
      </c>
      <c r="J13" s="1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 t="shared" si="1"/>
        <v>0</v>
      </c>
      <c r="F14" s="139" t="s">
        <v>233</v>
      </c>
      <c r="G14" s="289">
        <v>52172</v>
      </c>
      <c r="H14" s="289">
        <f>100000+7000+2522</f>
        <v>109522</v>
      </c>
      <c r="I14" s="483">
        <f>SUM(G14:H14)</f>
        <v>161694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01"/>
      <c r="H15" s="301"/>
      <c r="I15" s="484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6"/>
      <c r="I16" s="485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6"/>
      <c r="I17" s="485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472</v>
      </c>
      <c r="G18" s="169"/>
      <c r="H18" s="296"/>
      <c r="I18" s="485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169"/>
      <c r="H19" s="296"/>
      <c r="I19" s="485"/>
      <c r="J19" s="10"/>
    </row>
    <row r="20" spans="1:12" x14ac:dyDescent="0.2">
      <c r="A20" s="164">
        <f t="shared" si="0"/>
        <v>10</v>
      </c>
      <c r="B20" s="116" t="s">
        <v>210</v>
      </c>
      <c r="C20" s="367">
        <f>39290+10000</f>
        <v>49290</v>
      </c>
      <c r="D20" s="367">
        <f>28191+4500+2420</f>
        <v>35111</v>
      </c>
      <c r="E20" s="168">
        <f>SUM(C20:D20)</f>
        <v>84401</v>
      </c>
      <c r="F20" s="139" t="s">
        <v>977</v>
      </c>
      <c r="G20" s="169"/>
      <c r="H20" s="296"/>
      <c r="I20" s="485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464</v>
      </c>
      <c r="G21" s="169"/>
      <c r="H21" s="296"/>
      <c r="I21" s="485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465</v>
      </c>
      <c r="G22" s="169"/>
      <c r="H22" s="296"/>
      <c r="I22" s="485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6"/>
      <c r="I23" s="485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110955</v>
      </c>
      <c r="H24" s="368">
        <f>SUM(H12:H22)</f>
        <v>157437</v>
      </c>
      <c r="I24" s="486">
        <f>SUM(I12:I22)</f>
        <v>268392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6"/>
      <c r="I25" s="485"/>
      <c r="J25" s="10"/>
      <c r="L25" s="295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70"/>
      <c r="I26" s="485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169">
        <f>'felhalm. kiad.  '!G105</f>
        <v>0</v>
      </c>
      <c r="H27" s="169">
        <f>'felhalm. kiad.  '!H105</f>
        <v>3900</v>
      </c>
      <c r="I27" s="457">
        <f>'felhalm. kiad.  '!F105</f>
        <v>3900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6"/>
      <c r="I28" s="485"/>
      <c r="J28" s="10"/>
    </row>
    <row r="29" spans="1:12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6"/>
      <c r="I29" s="485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169"/>
      <c r="H30" s="296"/>
      <c r="I30" s="485"/>
      <c r="K30" s="836"/>
    </row>
    <row r="31" spans="1:12" x14ac:dyDescent="0.2">
      <c r="A31" s="164">
        <f t="shared" si="0"/>
        <v>21</v>
      </c>
      <c r="C31" s="119"/>
      <c r="D31" s="119"/>
      <c r="E31" s="119"/>
      <c r="F31" s="139" t="s">
        <v>470</v>
      </c>
      <c r="G31" s="169"/>
      <c r="H31" s="296"/>
      <c r="I31" s="485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49290</v>
      </c>
      <c r="D32" s="168">
        <f>D14+D20</f>
        <v>35111</v>
      </c>
      <c r="E32" s="168">
        <f>E14+E20</f>
        <v>84401</v>
      </c>
      <c r="F32" s="139" t="s">
        <v>466</v>
      </c>
      <c r="G32" s="158"/>
      <c r="H32" s="294"/>
      <c r="I32" s="485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69">
        <f>SUM(H27:H32)</f>
        <v>3900</v>
      </c>
      <c r="I33" s="487">
        <f>SUM(I27:I31)</f>
        <v>3900</v>
      </c>
      <c r="J33" s="193"/>
    </row>
    <row r="34" spans="1:10" x14ac:dyDescent="0.2">
      <c r="A34" s="164">
        <f t="shared" si="0"/>
        <v>24</v>
      </c>
      <c r="B34" s="178" t="s">
        <v>51</v>
      </c>
      <c r="C34" s="173">
        <f>SUM(C32:C33)</f>
        <v>49290</v>
      </c>
      <c r="D34" s="173">
        <f>SUM(D32:D33)</f>
        <v>35111</v>
      </c>
      <c r="E34" s="173">
        <f>SUM(C34:D34)</f>
        <v>84401</v>
      </c>
      <c r="F34" s="179" t="s">
        <v>69</v>
      </c>
      <c r="G34" s="173">
        <f>G24+G33</f>
        <v>110955</v>
      </c>
      <c r="H34" s="370">
        <f>H24+H33</f>
        <v>161337</v>
      </c>
      <c r="I34" s="458">
        <f>I24+I33</f>
        <v>272292</v>
      </c>
      <c r="J34" s="193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6"/>
      <c r="I35" s="485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68"/>
      <c r="I36" s="486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6"/>
      <c r="I37" s="485"/>
    </row>
    <row r="38" spans="1:10" s="11" customFormat="1" x14ac:dyDescent="0.2">
      <c r="A38" s="81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70"/>
      <c r="I38" s="458"/>
    </row>
    <row r="39" spans="1:10" s="11" customFormat="1" ht="12" customHeigh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82"/>
      <c r="I39" s="488"/>
    </row>
    <row r="40" spans="1:10" s="11" customFormat="1" x14ac:dyDescent="0.2">
      <c r="A40" s="164">
        <f t="shared" si="0"/>
        <v>30</v>
      </c>
      <c r="B40" s="157" t="s">
        <v>1020</v>
      </c>
      <c r="C40" s="126"/>
      <c r="D40" s="126"/>
      <c r="E40" s="126"/>
      <c r="F40" s="557" t="s">
        <v>3</v>
      </c>
      <c r="G40" s="173"/>
      <c r="H40" s="370"/>
      <c r="I40" s="458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173"/>
      <c r="H41" s="370"/>
      <c r="I41" s="458"/>
      <c r="J41" s="10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82"/>
      <c r="H42" s="192"/>
      <c r="I42" s="458"/>
      <c r="J42" s="10"/>
    </row>
    <row r="43" spans="1:10" x14ac:dyDescent="0.2">
      <c r="A43" s="164">
        <f t="shared" si="0"/>
        <v>33</v>
      </c>
      <c r="B43" s="555" t="s">
        <v>224</v>
      </c>
      <c r="C43" s="119"/>
      <c r="D43" s="119"/>
      <c r="E43" s="119">
        <f>C43+D43</f>
        <v>0</v>
      </c>
      <c r="F43" s="139" t="s">
        <v>7</v>
      </c>
      <c r="G43" s="182"/>
      <c r="H43" s="192"/>
      <c r="I43" s="458"/>
      <c r="J43" s="10"/>
    </row>
    <row r="44" spans="1:10" x14ac:dyDescent="0.2">
      <c r="A44" s="164">
        <f t="shared" si="0"/>
        <v>34</v>
      </c>
      <c r="B44" s="555" t="s">
        <v>1014</v>
      </c>
      <c r="C44" s="119"/>
      <c r="D44" s="119"/>
      <c r="E44" s="119">
        <f>C44+D44</f>
        <v>0</v>
      </c>
      <c r="F44" s="139"/>
      <c r="G44" s="182"/>
      <c r="H44" s="192"/>
      <c r="I44" s="458"/>
      <c r="J44" s="10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173"/>
      <c r="H45" s="370"/>
      <c r="I45" s="485"/>
      <c r="J45" s="10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173"/>
      <c r="H46" s="370"/>
      <c r="I46" s="485"/>
      <c r="J46" s="10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169"/>
      <c r="H47" s="296"/>
      <c r="I47" s="485"/>
      <c r="J47" s="10"/>
    </row>
    <row r="48" spans="1:10" x14ac:dyDescent="0.2">
      <c r="A48" s="164">
        <f t="shared" si="0"/>
        <v>38</v>
      </c>
      <c r="B48" s="555" t="s">
        <v>228</v>
      </c>
      <c r="C48" s="119">
        <f>G24-(C34+C43+C44)</f>
        <v>61665</v>
      </c>
      <c r="D48" s="119">
        <f>H24-(D34+D43+D44)</f>
        <v>122326</v>
      </c>
      <c r="E48" s="119">
        <f>I24-(E34+E43+E44)</f>
        <v>183991</v>
      </c>
      <c r="F48" s="139" t="s">
        <v>11</v>
      </c>
      <c r="G48" s="169"/>
      <c r="H48" s="296"/>
      <c r="I48" s="485"/>
      <c r="J48" s="10"/>
    </row>
    <row r="49" spans="1:10" x14ac:dyDescent="0.2">
      <c r="A49" s="164">
        <f t="shared" si="0"/>
        <v>39</v>
      </c>
      <c r="B49" s="555" t="s">
        <v>229</v>
      </c>
      <c r="C49" s="119">
        <f>G33-C33</f>
        <v>0</v>
      </c>
      <c r="D49" s="119">
        <f>H33-D33</f>
        <v>3900</v>
      </c>
      <c r="E49" s="119">
        <f>I33-E33</f>
        <v>3900</v>
      </c>
      <c r="F49" s="139" t="s">
        <v>12</v>
      </c>
      <c r="G49" s="169"/>
      <c r="H49" s="296"/>
      <c r="I49" s="485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6"/>
      <c r="I50" s="485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6"/>
      <c r="I51" s="485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6"/>
      <c r="I52" s="485"/>
      <c r="J52" s="10"/>
    </row>
    <row r="53" spans="1:10" ht="12" thickBot="1" x14ac:dyDescent="0.25">
      <c r="A53" s="164">
        <f t="shared" si="0"/>
        <v>43</v>
      </c>
      <c r="B53" s="178" t="s">
        <v>474</v>
      </c>
      <c r="C53" s="126">
        <f>SUM(C39:C51)</f>
        <v>61665</v>
      </c>
      <c r="D53" s="126">
        <f>SUM(D39:D51)</f>
        <v>126226</v>
      </c>
      <c r="E53" s="541">
        <f>SUM(E39:E51)</f>
        <v>187891</v>
      </c>
      <c r="F53" s="126" t="s">
        <v>467</v>
      </c>
      <c r="G53" s="173">
        <f>SUM(G39:G52)</f>
        <v>0</v>
      </c>
      <c r="H53" s="370">
        <f>SUM(H39:H52)</f>
        <v>0</v>
      </c>
      <c r="I53" s="458">
        <f>SUM(I39:I52)</f>
        <v>0</v>
      </c>
      <c r="J53" s="10"/>
    </row>
    <row r="54" spans="1:10" ht="12" thickBot="1" x14ac:dyDescent="0.25">
      <c r="A54" s="164">
        <f t="shared" si="0"/>
        <v>44</v>
      </c>
      <c r="B54" s="308" t="s">
        <v>469</v>
      </c>
      <c r="C54" s="309">
        <f>C34+C53</f>
        <v>110955</v>
      </c>
      <c r="D54" s="309">
        <f>D34+D53</f>
        <v>161337</v>
      </c>
      <c r="E54" s="837">
        <f>E34+E53</f>
        <v>272292</v>
      </c>
      <c r="F54" s="310" t="s">
        <v>468</v>
      </c>
      <c r="G54" s="310">
        <f>G34+G53</f>
        <v>110955</v>
      </c>
      <c r="H54" s="838">
        <f>H34+H53</f>
        <v>161337</v>
      </c>
      <c r="I54" s="839">
        <f>I34+I53</f>
        <v>272292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92"/>
      <c r="I55" s="192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6"/>
  <sheetViews>
    <sheetView topLeftCell="A4" zoomScale="120" workbookViewId="0">
      <selection activeCell="L14" sqref="L14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2.85546875" style="158" customWidth="1"/>
    <col min="7" max="7" width="7.5703125" style="158" customWidth="1"/>
    <col min="8" max="8" width="10.140625" style="294" customWidth="1"/>
    <col min="9" max="9" width="9.42578125" style="294" customWidth="1"/>
    <col min="10" max="10" width="9.140625" style="157"/>
    <col min="11" max="16384" width="9.140625" style="10"/>
  </cols>
  <sheetData>
    <row r="1" spans="1:10" ht="12.75" customHeight="1" x14ac:dyDescent="0.2">
      <c r="B1" s="1331" t="s">
        <v>1246</v>
      </c>
      <c r="C1" s="1265"/>
      <c r="D1" s="1265"/>
      <c r="E1" s="1265"/>
      <c r="F1" s="1265"/>
      <c r="G1" s="1265"/>
      <c r="H1" s="1265"/>
      <c r="I1" s="1265"/>
    </row>
    <row r="2" spans="1:10" x14ac:dyDescent="0.2">
      <c r="I2" s="365"/>
    </row>
    <row r="3" spans="1:10" x14ac:dyDescent="0.2">
      <c r="I3" s="365"/>
    </row>
    <row r="4" spans="1:10" s="122" customFormat="1" ht="12.75" customHeight="1" x14ac:dyDescent="0.2">
      <c r="A4" s="1134" t="s">
        <v>78</v>
      </c>
      <c r="B4" s="1134"/>
      <c r="C4" s="1134"/>
      <c r="D4" s="1134"/>
      <c r="E4" s="1134"/>
      <c r="F4" s="1134"/>
      <c r="G4" s="1134"/>
      <c r="H4" s="1134"/>
      <c r="I4" s="1134"/>
      <c r="J4" s="160"/>
    </row>
    <row r="5" spans="1:10" s="122" customFormat="1" ht="12.75" customHeight="1" x14ac:dyDescent="0.2">
      <c r="A5" s="1234" t="s">
        <v>758</v>
      </c>
      <c r="B5" s="1234"/>
      <c r="C5" s="1234"/>
      <c r="D5" s="1234"/>
      <c r="E5" s="1234"/>
      <c r="F5" s="1234"/>
      <c r="G5" s="1234"/>
      <c r="H5" s="1234"/>
      <c r="I5" s="1234"/>
      <c r="J5" s="160"/>
    </row>
    <row r="6" spans="1:10" s="122" customFormat="1" ht="12.75" customHeight="1" x14ac:dyDescent="0.2">
      <c r="A6" s="1134" t="s">
        <v>1131</v>
      </c>
      <c r="B6" s="1134"/>
      <c r="C6" s="1134"/>
      <c r="D6" s="1134"/>
      <c r="E6" s="1134"/>
      <c r="F6" s="1134"/>
      <c r="G6" s="1134"/>
      <c r="H6" s="1134"/>
      <c r="I6" s="1134"/>
      <c r="J6" s="160"/>
    </row>
    <row r="7" spans="1:10" s="122" customFormat="1" x14ac:dyDescent="0.2">
      <c r="A7" s="160"/>
      <c r="B7" s="1135" t="s">
        <v>325</v>
      </c>
      <c r="C7" s="1135"/>
      <c r="D7" s="1135"/>
      <c r="E7" s="1135"/>
      <c r="F7" s="1135"/>
      <c r="G7" s="1135"/>
      <c r="H7" s="1135"/>
      <c r="I7" s="1135"/>
      <c r="J7" s="160"/>
    </row>
    <row r="8" spans="1:10" s="122" customFormat="1" ht="12.75" customHeight="1" x14ac:dyDescent="0.2">
      <c r="A8" s="1139" t="s">
        <v>56</v>
      </c>
      <c r="B8" s="1140" t="s">
        <v>57</v>
      </c>
      <c r="C8" s="1155" t="s">
        <v>58</v>
      </c>
      <c r="D8" s="1155"/>
      <c r="E8" s="1156"/>
      <c r="F8" s="1233" t="s">
        <v>59</v>
      </c>
      <c r="G8" s="1137" t="s">
        <v>60</v>
      </c>
      <c r="H8" s="1138"/>
      <c r="I8" s="1138"/>
      <c r="J8" s="629"/>
    </row>
    <row r="9" spans="1:10" s="122" customFormat="1" ht="12.75" customHeight="1" x14ac:dyDescent="0.2">
      <c r="A9" s="1139"/>
      <c r="B9" s="1140"/>
      <c r="C9" s="1132" t="s">
        <v>1125</v>
      </c>
      <c r="D9" s="1132"/>
      <c r="E9" s="1133"/>
      <c r="F9" s="1233"/>
      <c r="G9" s="1132" t="s">
        <v>1125</v>
      </c>
      <c r="H9" s="1132"/>
      <c r="I9" s="1132"/>
      <c r="J9" s="629"/>
    </row>
    <row r="10" spans="1:10" s="123" customFormat="1" ht="36.6" customHeight="1" x14ac:dyDescent="0.2">
      <c r="A10" s="1139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66" t="s">
        <v>63</v>
      </c>
      <c r="I10" s="366" t="s">
        <v>64</v>
      </c>
      <c r="J10" s="630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71"/>
      <c r="I11" s="482"/>
      <c r="J11" s="193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231</v>
      </c>
      <c r="G12" s="289">
        <v>76982</v>
      </c>
      <c r="H12" s="289">
        <v>150000</v>
      </c>
      <c r="I12" s="483">
        <f>SUM(G12:H12)</f>
        <v>226982</v>
      </c>
      <c r="J12" s="193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232</v>
      </c>
      <c r="G13" s="289">
        <v>13455</v>
      </c>
      <c r="H13" s="289">
        <v>33000</v>
      </c>
      <c r="I13" s="483">
        <f>SUM(G13:H13)</f>
        <v>46455</v>
      </c>
      <c r="J13" s="193"/>
    </row>
    <row r="14" spans="1:10" x14ac:dyDescent="0.2">
      <c r="A14" s="164">
        <f t="shared" si="0"/>
        <v>4</v>
      </c>
      <c r="B14" s="167" t="s">
        <v>207</v>
      </c>
      <c r="C14" s="301">
        <f>'tám, végl. pe.átv  '!C58</f>
        <v>19891</v>
      </c>
      <c r="D14" s="301">
        <f>'tám, végl. pe.átv  '!D58</f>
        <v>0</v>
      </c>
      <c r="E14" s="289">
        <f>SUM(C14:D14)</f>
        <v>19891</v>
      </c>
      <c r="F14" s="139" t="s">
        <v>233</v>
      </c>
      <c r="G14" s="289">
        <v>36629</v>
      </c>
      <c r="H14" s="289">
        <f>84958+3000</f>
        <v>87958</v>
      </c>
      <c r="I14" s="483">
        <f>SUM(G14:H14)</f>
        <v>124587</v>
      </c>
      <c r="J14" s="193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89"/>
      <c r="H15" s="389"/>
      <c r="I15" s="484"/>
      <c r="J15" s="193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6"/>
      <c r="I16" s="485"/>
      <c r="J16" s="193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6"/>
      <c r="I17" s="485"/>
      <c r="J17" s="193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472</v>
      </c>
      <c r="G18" s="169"/>
      <c r="H18" s="296"/>
      <c r="I18" s="485"/>
      <c r="J18" s="193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169"/>
      <c r="H19" s="296"/>
      <c r="I19" s="485"/>
      <c r="J19" s="193"/>
    </row>
    <row r="20" spans="1:10" x14ac:dyDescent="0.2">
      <c r="A20" s="164">
        <f t="shared" si="0"/>
        <v>10</v>
      </c>
      <c r="B20" s="116" t="s">
        <v>210</v>
      </c>
      <c r="C20" s="367">
        <v>18446</v>
      </c>
      <c r="D20" s="367">
        <v>65449</v>
      </c>
      <c r="E20" s="168">
        <f>SUM(C20:D20)</f>
        <v>83895</v>
      </c>
      <c r="F20" s="139" t="s">
        <v>976</v>
      </c>
      <c r="G20" s="169"/>
      <c r="H20" s="296"/>
      <c r="I20" s="485"/>
      <c r="J20" s="193"/>
    </row>
    <row r="21" spans="1:10" x14ac:dyDescent="0.2">
      <c r="A21" s="164">
        <f t="shared" si="0"/>
        <v>11</v>
      </c>
      <c r="C21" s="168"/>
      <c r="D21" s="168"/>
      <c r="E21" s="168"/>
      <c r="F21" s="139" t="s">
        <v>464</v>
      </c>
      <c r="G21" s="169"/>
      <c r="H21" s="296"/>
      <c r="I21" s="485"/>
      <c r="J21" s="193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465</v>
      </c>
      <c r="G22" s="169"/>
      <c r="H22" s="296"/>
      <c r="I22" s="485"/>
      <c r="J22" s="631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6"/>
      <c r="I23" s="485"/>
      <c r="J23" s="631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127066</v>
      </c>
      <c r="H24" s="368">
        <f>SUM(H12:H22)</f>
        <v>270958</v>
      </c>
      <c r="I24" s="486">
        <f>SUM(I12:I22)</f>
        <v>398024</v>
      </c>
      <c r="J24" s="193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/>
      <c r="E25" s="168">
        <f>D25+C25</f>
        <v>0</v>
      </c>
      <c r="F25" s="171"/>
      <c r="G25" s="169"/>
      <c r="H25" s="296"/>
      <c r="I25" s="485"/>
      <c r="J25" s="193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70"/>
      <c r="I26" s="485"/>
      <c r="J26" s="193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169">
        <f>'felhalm. kiad.  '!G111</f>
        <v>8880</v>
      </c>
      <c r="H27" s="296">
        <f>'felhalm. kiad.  '!H111</f>
        <v>0</v>
      </c>
      <c r="I27" s="485">
        <f>SUM(G27:H27)</f>
        <v>8880</v>
      </c>
      <c r="J27" s="193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6"/>
      <c r="I28" s="485"/>
      <c r="J28" s="193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6"/>
      <c r="I29" s="485"/>
      <c r="J29" s="193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169"/>
      <c r="H30" s="296"/>
      <c r="I30" s="485"/>
      <c r="J30" s="631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169"/>
      <c r="H31" s="296"/>
      <c r="I31" s="485"/>
      <c r="J31" s="193"/>
    </row>
    <row r="32" spans="1:10" s="11" customFormat="1" x14ac:dyDescent="0.2">
      <c r="A32" s="164">
        <f t="shared" si="0"/>
        <v>22</v>
      </c>
      <c r="B32" s="174" t="s">
        <v>52</v>
      </c>
      <c r="C32" s="985">
        <f>C14+C20</f>
        <v>38337</v>
      </c>
      <c r="D32" s="985">
        <f>D14+D20</f>
        <v>65449</v>
      </c>
      <c r="E32" s="985">
        <f>E14+E20</f>
        <v>103786</v>
      </c>
      <c r="F32" s="139" t="s">
        <v>466</v>
      </c>
      <c r="G32" s="158"/>
      <c r="H32" s="294"/>
      <c r="I32" s="485"/>
      <c r="J32" s="531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0</v>
      </c>
      <c r="E33" s="177">
        <f t="shared" si="1"/>
        <v>0</v>
      </c>
      <c r="F33" s="176" t="s">
        <v>68</v>
      </c>
      <c r="G33" s="177">
        <f>SUM(G27:G32)</f>
        <v>8880</v>
      </c>
      <c r="H33" s="369">
        <f>SUM(H27:H32)</f>
        <v>0</v>
      </c>
      <c r="I33" s="487">
        <f>SUM(I27:I31)</f>
        <v>8880</v>
      </c>
      <c r="J33" s="193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38337</v>
      </c>
      <c r="D34" s="173">
        <f>SUM(D32:D33)</f>
        <v>65449</v>
      </c>
      <c r="E34" s="173">
        <f>SUM(C34:D34)</f>
        <v>103786</v>
      </c>
      <c r="F34" s="179" t="s">
        <v>69</v>
      </c>
      <c r="G34" s="173">
        <f>G24+G33</f>
        <v>135946</v>
      </c>
      <c r="H34" s="370">
        <f>H24+H33</f>
        <v>270958</v>
      </c>
      <c r="I34" s="458">
        <f>I24+I33</f>
        <v>406904</v>
      </c>
      <c r="J34" s="193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6"/>
      <c r="I35" s="485"/>
      <c r="J35" s="193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68"/>
      <c r="I36" s="486"/>
      <c r="J36" s="193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6"/>
      <c r="I37" s="485"/>
      <c r="J37" s="531"/>
    </row>
    <row r="38" spans="1:10" s="11" customFormat="1" x14ac:dyDescent="0.2">
      <c r="A38" s="81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70"/>
      <c r="I38" s="458"/>
      <c r="J38" s="531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82"/>
      <c r="I39" s="488"/>
      <c r="J39" s="531"/>
    </row>
    <row r="40" spans="1:10" s="11" customFormat="1" x14ac:dyDescent="0.2">
      <c r="A40" s="164">
        <f t="shared" si="0"/>
        <v>30</v>
      </c>
      <c r="B40" s="116" t="s">
        <v>1019</v>
      </c>
      <c r="C40" s="126"/>
      <c r="D40" s="126"/>
      <c r="E40" s="126"/>
      <c r="F40" s="557" t="s">
        <v>3</v>
      </c>
      <c r="G40" s="173"/>
      <c r="H40" s="370"/>
      <c r="I40" s="458"/>
      <c r="J40" s="531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173"/>
      <c r="H41" s="370"/>
      <c r="I41" s="458"/>
      <c r="J41" s="193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82"/>
      <c r="H42" s="192"/>
      <c r="I42" s="458"/>
      <c r="J42" s="193"/>
    </row>
    <row r="43" spans="1:10" x14ac:dyDescent="0.2">
      <c r="A43" s="164">
        <f t="shared" si="0"/>
        <v>33</v>
      </c>
      <c r="B43" s="555" t="s">
        <v>224</v>
      </c>
      <c r="C43" s="119"/>
      <c r="D43" s="119"/>
      <c r="E43" s="119">
        <f>C43+D43</f>
        <v>0</v>
      </c>
      <c r="F43" s="139" t="s">
        <v>7</v>
      </c>
      <c r="G43" s="182"/>
      <c r="H43" s="192"/>
      <c r="I43" s="458"/>
      <c r="J43" s="193"/>
    </row>
    <row r="44" spans="1:10" x14ac:dyDescent="0.2">
      <c r="A44" s="164">
        <f t="shared" si="0"/>
        <v>34</v>
      </c>
      <c r="B44" s="555" t="s">
        <v>1014</v>
      </c>
      <c r="C44" s="119"/>
      <c r="D44" s="119"/>
      <c r="E44" s="119"/>
      <c r="F44" s="139"/>
      <c r="G44" s="182"/>
      <c r="H44" s="192"/>
      <c r="I44" s="458"/>
      <c r="J44" s="193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173"/>
      <c r="H45" s="370"/>
      <c r="I45" s="485"/>
      <c r="J45" s="193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173"/>
      <c r="H46" s="370"/>
      <c r="I46" s="485"/>
      <c r="J46" s="193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169"/>
      <c r="H47" s="296"/>
      <c r="I47" s="485"/>
      <c r="J47" s="193"/>
    </row>
    <row r="48" spans="1:10" x14ac:dyDescent="0.2">
      <c r="A48" s="164">
        <f t="shared" si="0"/>
        <v>38</v>
      </c>
      <c r="B48" s="555" t="s">
        <v>228</v>
      </c>
      <c r="C48" s="289">
        <f>G24-(C32+C43)</f>
        <v>88729</v>
      </c>
      <c r="D48" s="289">
        <f t="shared" ref="D48:E48" si="2">H24-(D32+D43)</f>
        <v>205509</v>
      </c>
      <c r="E48" s="289">
        <f t="shared" si="2"/>
        <v>294238</v>
      </c>
      <c r="F48" s="139" t="s">
        <v>11</v>
      </c>
      <c r="G48" s="169"/>
      <c r="H48" s="296"/>
      <c r="I48" s="485"/>
      <c r="J48" s="193"/>
    </row>
    <row r="49" spans="1:10" x14ac:dyDescent="0.2">
      <c r="A49" s="164">
        <f t="shared" si="0"/>
        <v>39</v>
      </c>
      <c r="B49" s="555" t="s">
        <v>229</v>
      </c>
      <c r="C49" s="119">
        <f>G33-C33</f>
        <v>8880</v>
      </c>
      <c r="D49" s="119">
        <f t="shared" ref="D49:E49" si="3">H33-D33</f>
        <v>0</v>
      </c>
      <c r="E49" s="119">
        <f t="shared" si="3"/>
        <v>8880</v>
      </c>
      <c r="F49" s="139" t="s">
        <v>12</v>
      </c>
      <c r="G49" s="169"/>
      <c r="H49" s="296"/>
      <c r="I49" s="485"/>
      <c r="J49" s="193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63"/>
      <c r="F50" s="139" t="s">
        <v>13</v>
      </c>
      <c r="G50" s="169"/>
      <c r="H50" s="296"/>
      <c r="I50" s="485"/>
      <c r="J50" s="193"/>
    </row>
    <row r="51" spans="1:10" x14ac:dyDescent="0.2">
      <c r="A51" s="164">
        <f t="shared" si="0"/>
        <v>41</v>
      </c>
      <c r="B51" s="118"/>
      <c r="C51" s="119"/>
      <c r="D51" s="119"/>
      <c r="E51" s="463"/>
      <c r="F51" s="139" t="s">
        <v>14</v>
      </c>
      <c r="G51" s="169"/>
      <c r="H51" s="296"/>
      <c r="I51" s="485"/>
      <c r="J51" s="193"/>
    </row>
    <row r="52" spans="1:10" x14ac:dyDescent="0.2">
      <c r="A52" s="164">
        <f t="shared" si="0"/>
        <v>42</v>
      </c>
      <c r="B52" s="118"/>
      <c r="C52" s="119"/>
      <c r="D52" s="119"/>
      <c r="E52" s="463"/>
      <c r="F52" s="139" t="s">
        <v>15</v>
      </c>
      <c r="G52" s="169"/>
      <c r="H52" s="296"/>
      <c r="I52" s="485"/>
      <c r="J52" s="193"/>
    </row>
    <row r="53" spans="1:10" ht="12" thickBot="1" x14ac:dyDescent="0.25">
      <c r="A53" s="164">
        <f t="shared" si="0"/>
        <v>43</v>
      </c>
      <c r="B53" s="178" t="s">
        <v>474</v>
      </c>
      <c r="C53" s="340">
        <f>SUM(C39:C51)</f>
        <v>97609</v>
      </c>
      <c r="D53" s="340">
        <f>SUM(D39:D51)</f>
        <v>205509</v>
      </c>
      <c r="E53" s="675">
        <f>SUM(E39:E51)</f>
        <v>303118</v>
      </c>
      <c r="F53" s="140" t="s">
        <v>467</v>
      </c>
      <c r="G53" s="173">
        <f>SUM(G39:G52)</f>
        <v>0</v>
      </c>
      <c r="H53" s="370">
        <f>SUM(H39:H52)</f>
        <v>0</v>
      </c>
      <c r="I53" s="489">
        <f>SUM(I39:I52)</f>
        <v>0</v>
      </c>
      <c r="J53" s="193"/>
    </row>
    <row r="54" spans="1:10" ht="12" thickBot="1" x14ac:dyDescent="0.25">
      <c r="A54" s="164">
        <f t="shared" si="0"/>
        <v>44</v>
      </c>
      <c r="B54" s="186" t="s">
        <v>469</v>
      </c>
      <c r="C54" s="336">
        <f>C34+C53</f>
        <v>135946</v>
      </c>
      <c r="D54" s="336">
        <f>D34+D53</f>
        <v>270958</v>
      </c>
      <c r="E54" s="464">
        <f>E34+E53</f>
        <v>406904</v>
      </c>
      <c r="F54" s="523" t="s">
        <v>468</v>
      </c>
      <c r="G54" s="469">
        <f>G34+G53</f>
        <v>135946</v>
      </c>
      <c r="H54" s="372">
        <f>H34+H53</f>
        <v>270958</v>
      </c>
      <c r="I54" s="524">
        <f>I34+I53</f>
        <v>406904</v>
      </c>
      <c r="J54" s="295"/>
    </row>
    <row r="55" spans="1:10" x14ac:dyDescent="0.2">
      <c r="B55" s="183"/>
      <c r="C55" s="182"/>
      <c r="D55" s="182"/>
      <c r="E55" s="182"/>
      <c r="F55" s="182"/>
      <c r="G55" s="182"/>
      <c r="H55" s="192"/>
      <c r="I55" s="192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J47" sqref="J47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400" customWidth="1"/>
    <col min="5" max="5" width="10.42578125" style="400" bestFit="1" customWidth="1"/>
    <col min="6" max="9" width="9.7109375" style="400" customWidth="1"/>
    <col min="10" max="10" width="10.140625" style="400" customWidth="1"/>
    <col min="11" max="14" width="9.7109375" style="400" customWidth="1"/>
    <col min="15" max="15" width="11.5703125" style="400" customWidth="1"/>
    <col min="16" max="16" width="10.140625" style="16" customWidth="1"/>
    <col min="17" max="16384" width="9.140625" style="16"/>
  </cols>
  <sheetData>
    <row r="1" spans="1:33" ht="12.75" customHeight="1" x14ac:dyDescent="0.25">
      <c r="B1" s="1334" t="s">
        <v>1247</v>
      </c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  <c r="N1" s="1334"/>
      <c r="O1" s="1334"/>
      <c r="P1" s="1056"/>
      <c r="Q1" s="1056"/>
      <c r="R1" s="1056"/>
      <c r="S1" s="1056"/>
      <c r="T1" s="1056"/>
      <c r="U1" s="1056"/>
      <c r="V1" s="1056"/>
      <c r="W1" s="1056"/>
      <c r="X1" s="1056"/>
      <c r="Y1" s="1056"/>
      <c r="Z1" s="1056"/>
      <c r="AA1" s="1056"/>
      <c r="AB1" s="1056"/>
      <c r="AC1" s="1056"/>
      <c r="AD1" s="1056"/>
      <c r="AE1" s="1056"/>
      <c r="AF1" s="1056"/>
      <c r="AG1" s="1056"/>
    </row>
    <row r="2" spans="1:33" ht="14.1" customHeight="1" x14ac:dyDescent="0.25">
      <c r="A2" s="32"/>
      <c r="B2" s="1332" t="s">
        <v>87</v>
      </c>
      <c r="C2" s="1332"/>
      <c r="D2" s="1332"/>
      <c r="E2" s="1332"/>
      <c r="F2" s="1332"/>
      <c r="G2" s="1332"/>
      <c r="H2" s="1332"/>
      <c r="I2" s="1332"/>
      <c r="J2" s="1332"/>
      <c r="K2" s="1332"/>
      <c r="L2" s="1332"/>
      <c r="M2" s="1332"/>
      <c r="N2" s="1332"/>
      <c r="O2" s="1332"/>
    </row>
    <row r="3" spans="1:33" ht="14.1" customHeight="1" x14ac:dyDescent="0.25">
      <c r="A3" s="32"/>
      <c r="B3" s="1332" t="s">
        <v>1166</v>
      </c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  <c r="O3" s="1332"/>
    </row>
    <row r="4" spans="1:33" ht="14.1" customHeight="1" x14ac:dyDescent="0.25">
      <c r="A4" s="32"/>
      <c r="B4" s="816"/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</row>
    <row r="5" spans="1:33" ht="15" customHeight="1" x14ac:dyDescent="0.25">
      <c r="A5" s="1333"/>
      <c r="B5" s="818" t="s">
        <v>57</v>
      </c>
      <c r="C5" s="819" t="s">
        <v>58</v>
      </c>
      <c r="D5" s="819" t="s">
        <v>59</v>
      </c>
      <c r="E5" s="819" t="s">
        <v>60</v>
      </c>
      <c r="F5" s="819" t="s">
        <v>499</v>
      </c>
      <c r="G5" s="819" t="s">
        <v>500</v>
      </c>
      <c r="H5" s="819" t="s">
        <v>501</v>
      </c>
      <c r="I5" s="819" t="s">
        <v>629</v>
      </c>
      <c r="J5" s="819" t="s">
        <v>640</v>
      </c>
      <c r="K5" s="819" t="s">
        <v>641</v>
      </c>
      <c r="L5" s="819" t="s">
        <v>642</v>
      </c>
      <c r="M5" s="819" t="s">
        <v>643</v>
      </c>
      <c r="N5" s="819" t="s">
        <v>644</v>
      </c>
      <c r="O5" s="819" t="s">
        <v>645</v>
      </c>
    </row>
    <row r="6" spans="1:33" ht="12.75" customHeight="1" x14ac:dyDescent="0.25">
      <c r="A6" s="1333"/>
      <c r="B6" s="814" t="s">
        <v>86</v>
      </c>
      <c r="C6" s="820" t="s">
        <v>646</v>
      </c>
      <c r="D6" s="820" t="s">
        <v>647</v>
      </c>
      <c r="E6" s="820" t="s">
        <v>648</v>
      </c>
      <c r="F6" s="820" t="s">
        <v>649</v>
      </c>
      <c r="G6" s="820" t="s">
        <v>650</v>
      </c>
      <c r="H6" s="820" t="s">
        <v>651</v>
      </c>
      <c r="I6" s="820" t="s">
        <v>652</v>
      </c>
      <c r="J6" s="820" t="s">
        <v>653</v>
      </c>
      <c r="K6" s="820" t="s">
        <v>654</v>
      </c>
      <c r="L6" s="820" t="s">
        <v>655</v>
      </c>
      <c r="M6" s="820" t="s">
        <v>656</v>
      </c>
      <c r="N6" s="820" t="s">
        <v>657</v>
      </c>
      <c r="O6" s="820" t="s">
        <v>564</v>
      </c>
    </row>
    <row r="7" spans="1:33" s="32" customFormat="1" ht="12.75" customHeight="1" x14ac:dyDescent="0.25">
      <c r="A7" s="21" t="s">
        <v>508</v>
      </c>
      <c r="B7" s="34" t="s">
        <v>687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</row>
    <row r="8" spans="1:33" s="32" customFormat="1" ht="15.75" customHeight="1" x14ac:dyDescent="0.25">
      <c r="A8" s="21" t="s">
        <v>516</v>
      </c>
      <c r="B8" s="32" t="s">
        <v>681</v>
      </c>
      <c r="C8" s="270">
        <f>O8/12</f>
        <v>68041.083333333328</v>
      </c>
      <c r="D8" s="270">
        <v>65801</v>
      </c>
      <c r="E8" s="270">
        <v>65796</v>
      </c>
      <c r="F8" s="270">
        <v>65796</v>
      </c>
      <c r="G8" s="270">
        <v>65796</v>
      </c>
      <c r="H8" s="270">
        <v>65796</v>
      </c>
      <c r="I8" s="270">
        <v>65796</v>
      </c>
      <c r="J8" s="270">
        <v>65796</v>
      </c>
      <c r="K8" s="270">
        <v>65796</v>
      </c>
      <c r="L8" s="270">
        <v>65796</v>
      </c>
      <c r="M8" s="270">
        <v>65796</v>
      </c>
      <c r="N8" s="270">
        <v>65796</v>
      </c>
      <c r="O8" s="270">
        <f>Össz.önkor.mérleg.!E11</f>
        <v>816493</v>
      </c>
      <c r="P8" s="35"/>
    </row>
    <row r="9" spans="1:33" s="32" customFormat="1" ht="16.5" customHeight="1" x14ac:dyDescent="0.25">
      <c r="A9" s="21" t="s">
        <v>517</v>
      </c>
      <c r="B9" s="32" t="s">
        <v>682</v>
      </c>
      <c r="C9" s="270">
        <f>O9/12</f>
        <v>2629</v>
      </c>
      <c r="D9" s="270">
        <v>2629</v>
      </c>
      <c r="E9" s="270">
        <v>2629</v>
      </c>
      <c r="F9" s="270">
        <v>2629</v>
      </c>
      <c r="G9" s="270">
        <v>2629</v>
      </c>
      <c r="H9" s="270">
        <v>2629</v>
      </c>
      <c r="I9" s="270">
        <v>2629</v>
      </c>
      <c r="J9" s="270">
        <v>2629</v>
      </c>
      <c r="K9" s="270">
        <v>2629</v>
      </c>
      <c r="L9" s="270">
        <v>2629</v>
      </c>
      <c r="M9" s="270">
        <v>2629</v>
      </c>
      <c r="N9" s="270">
        <v>2629</v>
      </c>
      <c r="O9" s="270">
        <f>Össz.önkor.mérleg.!E13</f>
        <v>31548</v>
      </c>
      <c r="P9" s="35"/>
    </row>
    <row r="10" spans="1:33" s="32" customFormat="1" ht="15.75" customHeight="1" x14ac:dyDescent="0.25">
      <c r="A10" s="21" t="s">
        <v>518</v>
      </c>
      <c r="B10" s="32" t="s">
        <v>479</v>
      </c>
      <c r="C10" s="270">
        <f>O10/12</f>
        <v>102943.33333333333</v>
      </c>
      <c r="D10" s="270">
        <v>102947</v>
      </c>
      <c r="E10" s="270">
        <v>102943</v>
      </c>
      <c r="F10" s="270">
        <v>102943</v>
      </c>
      <c r="G10" s="270">
        <v>102943</v>
      </c>
      <c r="H10" s="270">
        <v>102943</v>
      </c>
      <c r="I10" s="270">
        <v>102943</v>
      </c>
      <c r="J10" s="270">
        <v>102943</v>
      </c>
      <c r="K10" s="270">
        <v>102943</v>
      </c>
      <c r="L10" s="270">
        <v>102943</v>
      </c>
      <c r="M10" s="270">
        <v>102943</v>
      </c>
      <c r="N10" s="270">
        <v>102943</v>
      </c>
      <c r="O10" s="270">
        <f>Össz.önkor.mérleg.!E16</f>
        <v>1235320</v>
      </c>
      <c r="P10" s="35"/>
    </row>
    <row r="11" spans="1:33" s="33" customFormat="1" ht="18" customHeight="1" x14ac:dyDescent="0.25">
      <c r="A11" s="21" t="s">
        <v>519</v>
      </c>
      <c r="B11" s="33" t="s">
        <v>683</v>
      </c>
      <c r="C11" s="270">
        <f>O11/12</f>
        <v>29806.333333333332</v>
      </c>
      <c r="D11" s="270">
        <v>29601</v>
      </c>
      <c r="E11" s="270">
        <v>29605</v>
      </c>
      <c r="F11" s="270">
        <v>29605</v>
      </c>
      <c r="G11" s="270">
        <v>29605</v>
      </c>
      <c r="H11" s="270">
        <v>29605</v>
      </c>
      <c r="I11" s="270">
        <v>29605</v>
      </c>
      <c r="J11" s="270">
        <v>29605</v>
      </c>
      <c r="K11" s="270">
        <v>29605</v>
      </c>
      <c r="L11" s="270">
        <v>29605</v>
      </c>
      <c r="M11" s="270">
        <v>29605</v>
      </c>
      <c r="N11" s="270">
        <v>29605</v>
      </c>
      <c r="O11" s="270">
        <f>Össz.önkor.mérleg.!E19</f>
        <v>357676</v>
      </c>
      <c r="P11" s="35"/>
    </row>
    <row r="12" spans="1:33" s="32" customFormat="1" ht="13.5" customHeight="1" x14ac:dyDescent="0.25">
      <c r="A12" s="21" t="s">
        <v>520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>
        <f t="shared" ref="O12:O18" si="0">SUM(C12:N12)</f>
        <v>0</v>
      </c>
      <c r="P12" s="35"/>
    </row>
    <row r="13" spans="1:33" s="32" customFormat="1" ht="15" customHeight="1" x14ac:dyDescent="0.25">
      <c r="A13" s="21" t="s">
        <v>521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>
        <f t="shared" si="0"/>
        <v>0</v>
      </c>
      <c r="P13" s="35"/>
    </row>
    <row r="14" spans="1:33" s="34" customFormat="1" ht="15.75" customHeight="1" x14ac:dyDescent="0.25">
      <c r="A14" s="21" t="s">
        <v>522</v>
      </c>
      <c r="B14" s="821" t="s">
        <v>658</v>
      </c>
      <c r="C14" s="822">
        <f>SUM(C8:C13)</f>
        <v>203419.75</v>
      </c>
      <c r="D14" s="822">
        <f>SUM(D8:D12)</f>
        <v>200978</v>
      </c>
      <c r="E14" s="822">
        <f>SUM(E8:E12)</f>
        <v>200973</v>
      </c>
      <c r="F14" s="822">
        <f>SUM(F8:F13)</f>
        <v>200973</v>
      </c>
      <c r="G14" s="822">
        <f>SUM(G8:G13)</f>
        <v>200973</v>
      </c>
      <c r="H14" s="822">
        <f t="shared" ref="H14:N14" si="1">SUM(H8:H12)</f>
        <v>200973</v>
      </c>
      <c r="I14" s="822">
        <f t="shared" si="1"/>
        <v>200973</v>
      </c>
      <c r="J14" s="822">
        <f t="shared" si="1"/>
        <v>200973</v>
      </c>
      <c r="K14" s="822">
        <f t="shared" si="1"/>
        <v>200973</v>
      </c>
      <c r="L14" s="822">
        <f t="shared" si="1"/>
        <v>200973</v>
      </c>
      <c r="M14" s="822">
        <f t="shared" si="1"/>
        <v>200973</v>
      </c>
      <c r="N14" s="822">
        <f t="shared" si="1"/>
        <v>200973</v>
      </c>
      <c r="O14" s="823">
        <f>SUM(O8:O13)</f>
        <v>2441037</v>
      </c>
      <c r="P14" s="36"/>
    </row>
    <row r="15" spans="1:33" s="32" customFormat="1" ht="15.75" customHeight="1" x14ac:dyDescent="0.25">
      <c r="A15" s="21" t="s">
        <v>523</v>
      </c>
      <c r="B15" s="32" t="s">
        <v>684</v>
      </c>
      <c r="C15" s="270"/>
      <c r="D15" s="270"/>
      <c r="E15" s="270"/>
      <c r="F15" s="270"/>
      <c r="G15" s="824"/>
      <c r="H15" s="824"/>
      <c r="I15" s="824"/>
      <c r="J15" s="824"/>
      <c r="K15" s="824"/>
      <c r="L15" s="824"/>
      <c r="M15" s="824"/>
      <c r="N15" s="824"/>
      <c r="O15" s="272">
        <f>Össz.önkor.mérleg.!E23</f>
        <v>0</v>
      </c>
      <c r="P15" s="35"/>
    </row>
    <row r="16" spans="1:33" s="32" customFormat="1" ht="15" customHeight="1" x14ac:dyDescent="0.25">
      <c r="A16" s="21" t="s">
        <v>565</v>
      </c>
      <c r="B16" s="32" t="s">
        <v>685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2">
        <v>0</v>
      </c>
      <c r="P16" s="35"/>
    </row>
    <row r="17" spans="1:256" s="32" customFormat="1" ht="16.5" customHeight="1" x14ac:dyDescent="0.25">
      <c r="A17" s="21" t="s">
        <v>566</v>
      </c>
      <c r="B17" s="32" t="s">
        <v>600</v>
      </c>
      <c r="C17" s="270">
        <f>O17/12</f>
        <v>239.16666666666666</v>
      </c>
      <c r="D17" s="270">
        <v>241</v>
      </c>
      <c r="E17" s="270">
        <v>239</v>
      </c>
      <c r="F17" s="270">
        <v>239</v>
      </c>
      <c r="G17" s="270">
        <v>239</v>
      </c>
      <c r="H17" s="270">
        <v>239</v>
      </c>
      <c r="I17" s="270">
        <v>239</v>
      </c>
      <c r="J17" s="270">
        <v>239</v>
      </c>
      <c r="K17" s="270">
        <v>239</v>
      </c>
      <c r="L17" s="270">
        <v>239</v>
      </c>
      <c r="M17" s="270">
        <v>239</v>
      </c>
      <c r="N17" s="270">
        <v>239</v>
      </c>
      <c r="O17" s="272">
        <f>Össz.önkor.mérleg.!E29</f>
        <v>2870</v>
      </c>
      <c r="P17" s="35"/>
    </row>
    <row r="18" spans="1:256" s="33" customFormat="1" ht="15" customHeight="1" x14ac:dyDescent="0.25">
      <c r="A18" s="21" t="s">
        <v>567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2">
        <f t="shared" si="0"/>
        <v>0</v>
      </c>
      <c r="P18" s="35"/>
    </row>
    <row r="19" spans="1:256" s="38" customFormat="1" ht="16.5" customHeight="1" x14ac:dyDescent="0.25">
      <c r="A19" s="21" t="s">
        <v>568</v>
      </c>
      <c r="B19" s="1048" t="s">
        <v>659</v>
      </c>
      <c r="C19" s="1049">
        <f>SUM(C15:C18)</f>
        <v>239.16666666666666</v>
      </c>
      <c r="D19" s="1049">
        <f>SUM(D15:D18)</f>
        <v>241</v>
      </c>
      <c r="E19" s="1049">
        <f>SUM(E15:E18)</f>
        <v>239</v>
      </c>
      <c r="F19" s="1049">
        <f t="shared" ref="F19:M19" si="2">SUM(F15:F18)</f>
        <v>239</v>
      </c>
      <c r="G19" s="1049">
        <f t="shared" si="2"/>
        <v>239</v>
      </c>
      <c r="H19" s="1049">
        <f t="shared" si="2"/>
        <v>239</v>
      </c>
      <c r="I19" s="1049">
        <f t="shared" si="2"/>
        <v>239</v>
      </c>
      <c r="J19" s="1049">
        <f t="shared" si="2"/>
        <v>239</v>
      </c>
      <c r="K19" s="1049">
        <f t="shared" si="2"/>
        <v>239</v>
      </c>
      <c r="L19" s="1049">
        <f t="shared" si="2"/>
        <v>239</v>
      </c>
      <c r="M19" s="1049">
        <f t="shared" si="2"/>
        <v>239</v>
      </c>
      <c r="N19" s="1049">
        <f>SUM(N15:N18)</f>
        <v>239</v>
      </c>
      <c r="O19" s="1050">
        <f>SUM(O15:O18)</f>
        <v>2870</v>
      </c>
      <c r="P19" s="37"/>
    </row>
    <row r="20" spans="1:256" s="34" customFormat="1" ht="16.5" customHeight="1" x14ac:dyDescent="0.25">
      <c r="A20" s="21" t="s">
        <v>569</v>
      </c>
      <c r="B20" s="38" t="s">
        <v>686</v>
      </c>
      <c r="C20" s="273"/>
      <c r="D20" s="273"/>
      <c r="E20" s="273"/>
      <c r="F20" s="273"/>
      <c r="G20" s="273"/>
      <c r="H20" s="271"/>
      <c r="I20" s="271"/>
      <c r="J20" s="271"/>
      <c r="K20" s="271"/>
      <c r="L20" s="271"/>
      <c r="M20" s="271"/>
      <c r="N20" s="271"/>
      <c r="O20" s="272">
        <f>SUM(C20:N20)</f>
        <v>0</v>
      </c>
      <c r="P20" s="36"/>
    </row>
    <row r="21" spans="1:256" s="32" customFormat="1" ht="15.75" customHeight="1" x14ac:dyDescent="0.25">
      <c r="A21" s="21" t="s">
        <v>570</v>
      </c>
      <c r="B21" s="33" t="s">
        <v>489</v>
      </c>
      <c r="C21" s="271">
        <f>O21/12</f>
        <v>216439.58333333334</v>
      </c>
      <c r="D21" s="271">
        <v>197609</v>
      </c>
      <c r="E21" s="271">
        <v>197615</v>
      </c>
      <c r="F21" s="271">
        <v>197615</v>
      </c>
      <c r="G21" s="271">
        <v>197615</v>
      </c>
      <c r="H21" s="271">
        <v>197615</v>
      </c>
      <c r="I21" s="271">
        <v>197615</v>
      </c>
      <c r="J21" s="271">
        <v>197615</v>
      </c>
      <c r="K21" s="271">
        <v>197615</v>
      </c>
      <c r="L21" s="271">
        <v>197615</v>
      </c>
      <c r="M21" s="271">
        <v>197615</v>
      </c>
      <c r="N21" s="271">
        <v>197615</v>
      </c>
      <c r="O21" s="272">
        <f>Össz.önkor.mérleg.!E52</f>
        <v>2597275</v>
      </c>
      <c r="P21" s="35"/>
    </row>
    <row r="22" spans="1:256" s="34" customFormat="1" ht="16.5" customHeight="1" x14ac:dyDescent="0.25">
      <c r="A22" s="21" t="s">
        <v>571</v>
      </c>
      <c r="B22" s="825" t="s">
        <v>660</v>
      </c>
      <c r="C22" s="826">
        <f t="shared" ref="C22:N22" si="3">C19+C14+C20+C21</f>
        <v>420098.5</v>
      </c>
      <c r="D22" s="826">
        <f t="shared" si="3"/>
        <v>398828</v>
      </c>
      <c r="E22" s="826">
        <f t="shared" si="3"/>
        <v>398827</v>
      </c>
      <c r="F22" s="826">
        <f t="shared" si="3"/>
        <v>398827</v>
      </c>
      <c r="G22" s="826">
        <f t="shared" si="3"/>
        <v>398827</v>
      </c>
      <c r="H22" s="826">
        <f t="shared" si="3"/>
        <v>398827</v>
      </c>
      <c r="I22" s="826">
        <f t="shared" si="3"/>
        <v>398827</v>
      </c>
      <c r="J22" s="826">
        <f t="shared" si="3"/>
        <v>398827</v>
      </c>
      <c r="K22" s="826">
        <f t="shared" si="3"/>
        <v>398827</v>
      </c>
      <c r="L22" s="826">
        <f t="shared" si="3"/>
        <v>398827</v>
      </c>
      <c r="M22" s="826">
        <f t="shared" si="3"/>
        <v>398827</v>
      </c>
      <c r="N22" s="826">
        <f t="shared" si="3"/>
        <v>398827</v>
      </c>
      <c r="O22" s="827">
        <f>O14+O21+O19</f>
        <v>5041182</v>
      </c>
      <c r="P22" s="36"/>
    </row>
    <row r="23" spans="1:256" s="15" customFormat="1" ht="15" customHeight="1" x14ac:dyDescent="0.25">
      <c r="A23" s="21" t="s">
        <v>572</v>
      </c>
      <c r="B23" s="34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</row>
    <row r="24" spans="1:256" s="34" customFormat="1" ht="12.75" customHeight="1" x14ac:dyDescent="0.25">
      <c r="A24" s="21" t="s">
        <v>574</v>
      </c>
      <c r="B24" s="34" t="s">
        <v>65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</row>
    <row r="25" spans="1:256" s="32" customFormat="1" ht="15.75" customHeight="1" x14ac:dyDescent="0.25">
      <c r="A25" s="21" t="s">
        <v>575</v>
      </c>
      <c r="B25" s="32" t="s">
        <v>490</v>
      </c>
      <c r="C25" s="270">
        <f t="shared" ref="C25:C32" si="4">O25/12</f>
        <v>75983.416666666672</v>
      </c>
      <c r="D25" s="270">
        <v>75820</v>
      </c>
      <c r="E25" s="270">
        <v>75817</v>
      </c>
      <c r="F25" s="270">
        <v>75817</v>
      </c>
      <c r="G25" s="270">
        <v>75817</v>
      </c>
      <c r="H25" s="270">
        <v>75817</v>
      </c>
      <c r="I25" s="270">
        <v>75817</v>
      </c>
      <c r="J25" s="270">
        <v>75817</v>
      </c>
      <c r="K25" s="270">
        <v>75817</v>
      </c>
      <c r="L25" s="270">
        <v>75817</v>
      </c>
      <c r="M25" s="270">
        <v>75817</v>
      </c>
      <c r="N25" s="270">
        <v>75817</v>
      </c>
      <c r="O25" s="272">
        <f>Össz.önkor.mérleg.!I10</f>
        <v>911801</v>
      </c>
      <c r="P25" s="35"/>
    </row>
    <row r="26" spans="1:256" s="32" customFormat="1" ht="17.25" customHeight="1" x14ac:dyDescent="0.25">
      <c r="A26" s="21" t="s">
        <v>576</v>
      </c>
      <c r="B26" s="32" t="s">
        <v>491</v>
      </c>
      <c r="C26" s="270">
        <f t="shared" si="4"/>
        <v>17512.11</v>
      </c>
      <c r="D26" s="270">
        <v>17473</v>
      </c>
      <c r="E26" s="270">
        <v>17479</v>
      </c>
      <c r="F26" s="270">
        <v>17479</v>
      </c>
      <c r="G26" s="270">
        <v>17479</v>
      </c>
      <c r="H26" s="270">
        <v>17479</v>
      </c>
      <c r="I26" s="270">
        <v>17479</v>
      </c>
      <c r="J26" s="270">
        <v>17479</v>
      </c>
      <c r="K26" s="270">
        <v>17479</v>
      </c>
      <c r="L26" s="270">
        <v>17479</v>
      </c>
      <c r="M26" s="270">
        <v>17479</v>
      </c>
      <c r="N26" s="270">
        <v>17479</v>
      </c>
      <c r="O26" s="272">
        <f>Össz.önkor.mérleg.!I11</f>
        <v>210145.32</v>
      </c>
      <c r="P26" s="35"/>
    </row>
    <row r="27" spans="1:256" s="32" customFormat="1" ht="13.5" customHeight="1" x14ac:dyDescent="0.25">
      <c r="A27" s="21" t="s">
        <v>577</v>
      </c>
      <c r="B27" s="32" t="s">
        <v>492</v>
      </c>
      <c r="C27" s="270">
        <f t="shared" si="4"/>
        <v>85745.166666666672</v>
      </c>
      <c r="D27" s="270">
        <v>78841</v>
      </c>
      <c r="E27" s="270">
        <v>78839</v>
      </c>
      <c r="F27" s="270">
        <v>78839</v>
      </c>
      <c r="G27" s="270">
        <v>78839</v>
      </c>
      <c r="H27" s="270">
        <v>78839</v>
      </c>
      <c r="I27" s="270">
        <v>78839</v>
      </c>
      <c r="J27" s="270">
        <v>78839</v>
      </c>
      <c r="K27" s="270">
        <v>78839</v>
      </c>
      <c r="L27" s="270">
        <v>78839</v>
      </c>
      <c r="M27" s="270">
        <v>78839</v>
      </c>
      <c r="N27" s="270">
        <v>78839</v>
      </c>
      <c r="O27" s="272">
        <f>Össz.önkor.mérleg.!I12</f>
        <v>1028942</v>
      </c>
      <c r="P27" s="35"/>
    </row>
    <row r="28" spans="1:256" s="32" customFormat="1" ht="15" customHeight="1" x14ac:dyDescent="0.25">
      <c r="A28" s="21" t="s">
        <v>578</v>
      </c>
      <c r="B28" s="32" t="s">
        <v>661</v>
      </c>
      <c r="C28" s="270">
        <f t="shared" si="4"/>
        <v>1175</v>
      </c>
      <c r="D28" s="270">
        <v>1175</v>
      </c>
      <c r="E28" s="270">
        <v>1175</v>
      </c>
      <c r="F28" s="270">
        <v>1175</v>
      </c>
      <c r="G28" s="270">
        <v>1175</v>
      </c>
      <c r="H28" s="270">
        <v>1175</v>
      </c>
      <c r="I28" s="270">
        <v>1175</v>
      </c>
      <c r="J28" s="270">
        <v>1175</v>
      </c>
      <c r="K28" s="270">
        <v>1175</v>
      </c>
      <c r="L28" s="270">
        <v>1175</v>
      </c>
      <c r="M28" s="270">
        <v>1175</v>
      </c>
      <c r="N28" s="270">
        <v>1175</v>
      </c>
      <c r="O28" s="272">
        <f>Össz.önkor.mérleg.!I14</f>
        <v>14100</v>
      </c>
      <c r="P28" s="35"/>
      <c r="IV28" s="35"/>
    </row>
    <row r="29" spans="1:256" s="32" customFormat="1" ht="15" customHeight="1" x14ac:dyDescent="0.25">
      <c r="A29" s="21" t="s">
        <v>579</v>
      </c>
      <c r="B29" s="32" t="s">
        <v>283</v>
      </c>
      <c r="C29" s="270">
        <v>38</v>
      </c>
      <c r="D29" s="270">
        <v>33</v>
      </c>
      <c r="E29" s="270">
        <v>38</v>
      </c>
      <c r="F29" s="270">
        <v>38</v>
      </c>
      <c r="G29" s="270">
        <v>38</v>
      </c>
      <c r="H29" s="270">
        <v>38</v>
      </c>
      <c r="I29" s="270">
        <v>38</v>
      </c>
      <c r="J29" s="270">
        <v>38</v>
      </c>
      <c r="K29" s="270">
        <v>38</v>
      </c>
      <c r="L29" s="270">
        <v>38</v>
      </c>
      <c r="M29" s="270">
        <v>38</v>
      </c>
      <c r="N29" s="270">
        <v>38</v>
      </c>
      <c r="O29" s="272">
        <f>Össz.önkor.mérleg.!I18</f>
        <v>451</v>
      </c>
      <c r="P29" s="35"/>
    </row>
    <row r="30" spans="1:256" s="32" customFormat="1" ht="12.75" customHeight="1" x14ac:dyDescent="0.25">
      <c r="A30" s="21" t="s">
        <v>580</v>
      </c>
      <c r="B30" s="32" t="s">
        <v>493</v>
      </c>
      <c r="C30" s="270">
        <v>3993</v>
      </c>
      <c r="D30" s="270">
        <v>3989</v>
      </c>
      <c r="E30" s="270">
        <v>3993</v>
      </c>
      <c r="F30" s="270">
        <v>3993</v>
      </c>
      <c r="G30" s="270">
        <v>3993</v>
      </c>
      <c r="H30" s="270">
        <v>3993</v>
      </c>
      <c r="I30" s="270">
        <v>3993</v>
      </c>
      <c r="J30" s="270">
        <v>3993</v>
      </c>
      <c r="K30" s="270">
        <v>3993</v>
      </c>
      <c r="L30" s="270">
        <v>3993</v>
      </c>
      <c r="M30" s="270">
        <v>3993</v>
      </c>
      <c r="N30" s="270">
        <v>3993</v>
      </c>
      <c r="O30" s="272">
        <f>Össz.önkor.mérleg.!I16</f>
        <v>47912</v>
      </c>
      <c r="P30" s="35"/>
    </row>
    <row r="31" spans="1:256" s="32" customFormat="1" ht="15.75" customHeight="1" x14ac:dyDescent="0.25">
      <c r="A31" s="21" t="s">
        <v>581</v>
      </c>
      <c r="B31" s="32" t="s">
        <v>494</v>
      </c>
      <c r="C31" s="270">
        <f t="shared" si="4"/>
        <v>23841.083333333332</v>
      </c>
      <c r="D31" s="270">
        <v>22360</v>
      </c>
      <c r="E31" s="270">
        <v>22360</v>
      </c>
      <c r="F31" s="270">
        <v>22360</v>
      </c>
      <c r="G31" s="270">
        <v>22360</v>
      </c>
      <c r="H31" s="270">
        <v>22360</v>
      </c>
      <c r="I31" s="270">
        <v>22360</v>
      </c>
      <c r="J31" s="270">
        <v>22360</v>
      </c>
      <c r="K31" s="270">
        <v>22360</v>
      </c>
      <c r="L31" s="270">
        <v>22360</v>
      </c>
      <c r="M31" s="270">
        <v>22360</v>
      </c>
      <c r="N31" s="270">
        <v>22360</v>
      </c>
      <c r="O31" s="272">
        <f>Össz.önkor.mérleg.!I17</f>
        <v>286093</v>
      </c>
      <c r="P31" s="35"/>
    </row>
    <row r="32" spans="1:256" s="32" customFormat="1" ht="15" customHeight="1" x14ac:dyDescent="0.25">
      <c r="A32" s="21" t="s">
        <v>601</v>
      </c>
      <c r="B32" s="32" t="s">
        <v>690</v>
      </c>
      <c r="C32" s="270">
        <f t="shared" si="4"/>
        <v>7090.666666666667</v>
      </c>
      <c r="D32" s="270">
        <v>7087</v>
      </c>
      <c r="E32" s="270">
        <v>7091</v>
      </c>
      <c r="F32" s="270">
        <v>7091</v>
      </c>
      <c r="G32" s="270">
        <v>7091</v>
      </c>
      <c r="H32" s="270">
        <v>7091</v>
      </c>
      <c r="I32" s="270">
        <v>7091</v>
      </c>
      <c r="J32" s="270">
        <v>7091</v>
      </c>
      <c r="K32" s="270">
        <v>7091</v>
      </c>
      <c r="L32" s="270">
        <v>7091</v>
      </c>
      <c r="M32" s="270">
        <v>7091</v>
      </c>
      <c r="N32" s="270">
        <v>7091</v>
      </c>
      <c r="O32" s="272">
        <f>Össz.önkor.mérleg.!I19+Össz.önkor.mérleg.!I20</f>
        <v>85088</v>
      </c>
      <c r="P32" s="35"/>
    </row>
    <row r="33" spans="1:16" s="33" customFormat="1" ht="15.75" customHeight="1" x14ac:dyDescent="0.25">
      <c r="A33" s="21" t="s">
        <v>602</v>
      </c>
      <c r="B33" s="1051" t="s">
        <v>662</v>
      </c>
      <c r="C33" s="1049">
        <f>SUM(C25:C32)</f>
        <v>215378.44333333336</v>
      </c>
      <c r="D33" s="1049">
        <f>SUM(D25:D32)</f>
        <v>206778</v>
      </c>
      <c r="E33" s="1049">
        <f t="shared" ref="E33:N33" si="5">SUM(E25:E32)</f>
        <v>206792</v>
      </c>
      <c r="F33" s="1049">
        <f t="shared" si="5"/>
        <v>206792</v>
      </c>
      <c r="G33" s="1049">
        <f t="shared" si="5"/>
        <v>206792</v>
      </c>
      <c r="H33" s="1049">
        <f t="shared" si="5"/>
        <v>206792</v>
      </c>
      <c r="I33" s="1049">
        <f t="shared" si="5"/>
        <v>206792</v>
      </c>
      <c r="J33" s="1049">
        <f t="shared" si="5"/>
        <v>206792</v>
      </c>
      <c r="K33" s="1049">
        <f t="shared" si="5"/>
        <v>206792</v>
      </c>
      <c r="L33" s="1049">
        <f t="shared" si="5"/>
        <v>206792</v>
      </c>
      <c r="M33" s="1049">
        <f t="shared" si="5"/>
        <v>206792</v>
      </c>
      <c r="N33" s="1049">
        <f t="shared" si="5"/>
        <v>206792</v>
      </c>
      <c r="O33" s="1050">
        <f>SUM(O25:O32)</f>
        <v>2584532.3200000003</v>
      </c>
      <c r="P33" s="650"/>
    </row>
    <row r="34" spans="1:16" s="33" customFormat="1" ht="15" customHeight="1" x14ac:dyDescent="0.25">
      <c r="A34" s="21" t="s">
        <v>603</v>
      </c>
      <c r="B34" s="33" t="s">
        <v>663</v>
      </c>
      <c r="C34" s="271">
        <f t="shared" ref="C34:C39" si="6">O34/12</f>
        <v>173443</v>
      </c>
      <c r="D34" s="271">
        <v>167754</v>
      </c>
      <c r="E34" s="271">
        <v>167757</v>
      </c>
      <c r="F34" s="271">
        <v>167757</v>
      </c>
      <c r="G34" s="271">
        <v>167757</v>
      </c>
      <c r="H34" s="271">
        <v>167757</v>
      </c>
      <c r="I34" s="271">
        <v>167757</v>
      </c>
      <c r="J34" s="271">
        <v>167757</v>
      </c>
      <c r="K34" s="271">
        <v>167757</v>
      </c>
      <c r="L34" s="271">
        <v>167757</v>
      </c>
      <c r="M34" s="271">
        <v>167757</v>
      </c>
      <c r="N34" s="271">
        <v>167757</v>
      </c>
      <c r="O34" s="273">
        <f>Össz.önkor.mérleg.!I26</f>
        <v>2081316</v>
      </c>
      <c r="P34" s="650"/>
    </row>
    <row r="35" spans="1:16" s="33" customFormat="1" ht="15" customHeight="1" x14ac:dyDescent="0.25">
      <c r="A35" s="21" t="s">
        <v>604</v>
      </c>
      <c r="B35" s="33" t="s">
        <v>512</v>
      </c>
      <c r="C35" s="271">
        <f t="shared" si="6"/>
        <v>833.33333333333337</v>
      </c>
      <c r="D35" s="271">
        <v>837</v>
      </c>
      <c r="E35" s="271">
        <v>833</v>
      </c>
      <c r="F35" s="271">
        <v>833</v>
      </c>
      <c r="G35" s="271">
        <v>833</v>
      </c>
      <c r="H35" s="271">
        <v>833</v>
      </c>
      <c r="I35" s="271">
        <v>833</v>
      </c>
      <c r="J35" s="271">
        <v>833</v>
      </c>
      <c r="K35" s="271">
        <v>833</v>
      </c>
      <c r="L35" s="271">
        <v>833</v>
      </c>
      <c r="M35" s="271">
        <v>833</v>
      </c>
      <c r="N35" s="271">
        <v>833</v>
      </c>
      <c r="O35" s="273">
        <f>Össz.önkor.mérleg.!I27</f>
        <v>10000</v>
      </c>
      <c r="P35" s="650"/>
    </row>
    <row r="36" spans="1:16" s="33" customFormat="1" ht="15.75" customHeight="1" x14ac:dyDescent="0.25">
      <c r="A36" s="21" t="s">
        <v>605</v>
      </c>
      <c r="B36" s="33" t="s">
        <v>495</v>
      </c>
      <c r="C36" s="271">
        <f t="shared" si="6"/>
        <v>0</v>
      </c>
      <c r="D36" s="271">
        <v>0</v>
      </c>
      <c r="E36" s="271">
        <v>0</v>
      </c>
      <c r="F36" s="271">
        <v>0</v>
      </c>
      <c r="G36" s="271">
        <v>0</v>
      </c>
      <c r="H36" s="271">
        <v>0</v>
      </c>
      <c r="I36" s="271">
        <v>0</v>
      </c>
      <c r="J36" s="271">
        <v>0</v>
      </c>
      <c r="K36" s="271">
        <v>0</v>
      </c>
      <c r="L36" s="271">
        <v>0</v>
      </c>
      <c r="M36" s="271">
        <v>0</v>
      </c>
      <c r="N36" s="271">
        <v>0</v>
      </c>
      <c r="O36" s="273">
        <f>Össz.önkor.mérleg.!I28</f>
        <v>0</v>
      </c>
    </row>
    <row r="37" spans="1:16" s="33" customFormat="1" ht="15.75" customHeight="1" x14ac:dyDescent="0.25">
      <c r="A37" s="21" t="s">
        <v>606</v>
      </c>
      <c r="B37" s="32" t="s">
        <v>688</v>
      </c>
      <c r="C37" s="271">
        <f t="shared" si="6"/>
        <v>0</v>
      </c>
      <c r="D37" s="271">
        <v>0</v>
      </c>
      <c r="E37" s="271">
        <v>0</v>
      </c>
      <c r="F37" s="271">
        <v>0</v>
      </c>
      <c r="G37" s="271">
        <v>0</v>
      </c>
      <c r="H37" s="271">
        <v>0</v>
      </c>
      <c r="I37" s="271">
        <v>0</v>
      </c>
      <c r="J37" s="271">
        <v>0</v>
      </c>
      <c r="K37" s="271">
        <v>0</v>
      </c>
      <c r="L37" s="271">
        <v>0</v>
      </c>
      <c r="M37" s="271">
        <v>0</v>
      </c>
      <c r="N37" s="271">
        <v>0</v>
      </c>
      <c r="O37" s="273">
        <f>Össz.önkor.mérleg.!I29</f>
        <v>0</v>
      </c>
    </row>
    <row r="38" spans="1:16" s="33" customFormat="1" ht="16.5" customHeight="1" x14ac:dyDescent="0.25">
      <c r="A38" s="21" t="s">
        <v>607</v>
      </c>
      <c r="B38" s="32" t="s">
        <v>689</v>
      </c>
      <c r="C38" s="271">
        <f t="shared" si="6"/>
        <v>5731</v>
      </c>
      <c r="D38" s="271">
        <v>8272</v>
      </c>
      <c r="E38" s="271">
        <v>8276</v>
      </c>
      <c r="F38" s="271">
        <v>8276</v>
      </c>
      <c r="G38" s="271">
        <v>8276</v>
      </c>
      <c r="H38" s="271">
        <v>8276</v>
      </c>
      <c r="I38" s="271">
        <v>8276</v>
      </c>
      <c r="J38" s="271">
        <v>8276</v>
      </c>
      <c r="K38" s="271">
        <v>8276</v>
      </c>
      <c r="L38" s="271">
        <v>8276</v>
      </c>
      <c r="M38" s="271">
        <v>8276</v>
      </c>
      <c r="N38" s="271">
        <v>8276</v>
      </c>
      <c r="O38" s="273">
        <f>Össz.önkor.mérleg.!I30</f>
        <v>68772</v>
      </c>
      <c r="P38" s="650"/>
    </row>
    <row r="39" spans="1:16" s="33" customFormat="1" ht="15" customHeight="1" x14ac:dyDescent="0.25">
      <c r="A39" s="21" t="s">
        <v>608</v>
      </c>
      <c r="B39" s="32" t="s">
        <v>691</v>
      </c>
      <c r="C39" s="271">
        <f t="shared" si="6"/>
        <v>22093.166666666668</v>
      </c>
      <c r="D39" s="271">
        <v>12915</v>
      </c>
      <c r="E39" s="271">
        <v>12913</v>
      </c>
      <c r="F39" s="271">
        <v>12913</v>
      </c>
      <c r="G39" s="271">
        <v>12913</v>
      </c>
      <c r="H39" s="271">
        <v>12913</v>
      </c>
      <c r="I39" s="271">
        <v>12913</v>
      </c>
      <c r="J39" s="271">
        <v>12913</v>
      </c>
      <c r="K39" s="271">
        <v>12913</v>
      </c>
      <c r="L39" s="271">
        <v>12913</v>
      </c>
      <c r="M39" s="271">
        <v>12913</v>
      </c>
      <c r="N39" s="271">
        <v>12913</v>
      </c>
      <c r="O39" s="273">
        <f>Össz.önkor.mérleg.!I31</f>
        <v>265118</v>
      </c>
      <c r="P39" s="650"/>
    </row>
    <row r="40" spans="1:16" s="38" customFormat="1" ht="15" customHeight="1" x14ac:dyDescent="0.25">
      <c r="A40" s="21" t="s">
        <v>609</v>
      </c>
      <c r="B40" s="821" t="s">
        <v>692</v>
      </c>
      <c r="C40" s="822">
        <f t="shared" ref="C40:O40" si="7">SUM(C34:C39)</f>
        <v>202100.5</v>
      </c>
      <c r="D40" s="822">
        <f t="shared" si="7"/>
        <v>189778</v>
      </c>
      <c r="E40" s="822">
        <f t="shared" si="7"/>
        <v>189779</v>
      </c>
      <c r="F40" s="822">
        <f t="shared" si="7"/>
        <v>189779</v>
      </c>
      <c r="G40" s="822">
        <f t="shared" si="7"/>
        <v>189779</v>
      </c>
      <c r="H40" s="822">
        <f t="shared" si="7"/>
        <v>189779</v>
      </c>
      <c r="I40" s="822">
        <f t="shared" si="7"/>
        <v>189779</v>
      </c>
      <c r="J40" s="822">
        <f t="shared" si="7"/>
        <v>189779</v>
      </c>
      <c r="K40" s="822">
        <f t="shared" si="7"/>
        <v>189779</v>
      </c>
      <c r="L40" s="822">
        <f t="shared" si="7"/>
        <v>189779</v>
      </c>
      <c r="M40" s="822">
        <f t="shared" si="7"/>
        <v>189779</v>
      </c>
      <c r="N40" s="822">
        <f t="shared" si="7"/>
        <v>189779</v>
      </c>
      <c r="O40" s="822">
        <f t="shared" si="7"/>
        <v>2425206</v>
      </c>
      <c r="P40" s="37"/>
    </row>
    <row r="41" spans="1:16" s="38" customFormat="1" ht="15" customHeight="1" x14ac:dyDescent="0.25">
      <c r="A41" s="21" t="s">
        <v>664</v>
      </c>
      <c r="B41" s="1045" t="s">
        <v>1168</v>
      </c>
      <c r="C41" s="1046">
        <f>O41/12</f>
        <v>2620.3333333333335</v>
      </c>
      <c r="D41" s="1046">
        <v>2261</v>
      </c>
      <c r="E41" s="1046">
        <v>2257</v>
      </c>
      <c r="F41" s="1046">
        <v>2257</v>
      </c>
      <c r="G41" s="1046">
        <v>2257</v>
      </c>
      <c r="H41" s="1046">
        <v>2257</v>
      </c>
      <c r="I41" s="1046">
        <v>2257</v>
      </c>
      <c r="J41" s="1046">
        <v>2257</v>
      </c>
      <c r="K41" s="1046">
        <v>2257</v>
      </c>
      <c r="L41" s="1046">
        <v>2257</v>
      </c>
      <c r="M41" s="1046">
        <v>2257</v>
      </c>
      <c r="N41" s="1046">
        <v>2257</v>
      </c>
      <c r="O41" s="1044">
        <f>Össz.önkor.mérleg.!I45</f>
        <v>31444</v>
      </c>
      <c r="P41" s="37"/>
    </row>
    <row r="42" spans="1:16" s="32" customFormat="1" ht="15.75" customHeight="1" x14ac:dyDescent="0.25">
      <c r="A42" s="21" t="s">
        <v>665</v>
      </c>
      <c r="B42" s="1043" t="s">
        <v>1167</v>
      </c>
      <c r="C42" s="270">
        <f>SUM(C41)</f>
        <v>2620.3333333333335</v>
      </c>
      <c r="D42" s="270">
        <f>SUM(D41)</f>
        <v>2261</v>
      </c>
      <c r="E42" s="270">
        <f t="shared" ref="E42:N42" si="8">SUM(E41)</f>
        <v>2257</v>
      </c>
      <c r="F42" s="270">
        <f t="shared" si="8"/>
        <v>2257</v>
      </c>
      <c r="G42" s="270">
        <f t="shared" si="8"/>
        <v>2257</v>
      </c>
      <c r="H42" s="270">
        <f t="shared" si="8"/>
        <v>2257</v>
      </c>
      <c r="I42" s="270">
        <f t="shared" si="8"/>
        <v>2257</v>
      </c>
      <c r="J42" s="270">
        <f t="shared" si="8"/>
        <v>2257</v>
      </c>
      <c r="K42" s="270">
        <f t="shared" si="8"/>
        <v>2257</v>
      </c>
      <c r="L42" s="270">
        <f t="shared" si="8"/>
        <v>2257</v>
      </c>
      <c r="M42" s="270">
        <f t="shared" si="8"/>
        <v>2257</v>
      </c>
      <c r="N42" s="270">
        <f t="shared" si="8"/>
        <v>2257</v>
      </c>
      <c r="O42" s="272">
        <f>SUM(C42:N42)</f>
        <v>27451.333333333336</v>
      </c>
    </row>
    <row r="43" spans="1:16" s="34" customFormat="1" ht="16.5" customHeight="1" x14ac:dyDescent="0.25">
      <c r="A43" s="21" t="s">
        <v>666</v>
      </c>
      <c r="B43" s="825" t="s">
        <v>695</v>
      </c>
      <c r="C43" s="826">
        <f t="shared" ref="C43:N43" si="9">C40+C33+C42</f>
        <v>420099.27666666667</v>
      </c>
      <c r="D43" s="826">
        <f t="shared" si="9"/>
        <v>398817</v>
      </c>
      <c r="E43" s="826">
        <f t="shared" si="9"/>
        <v>398828</v>
      </c>
      <c r="F43" s="826">
        <f t="shared" si="9"/>
        <v>398828</v>
      </c>
      <c r="G43" s="826">
        <f t="shared" si="9"/>
        <v>398828</v>
      </c>
      <c r="H43" s="826">
        <f t="shared" si="9"/>
        <v>398828</v>
      </c>
      <c r="I43" s="826">
        <f t="shared" si="9"/>
        <v>398828</v>
      </c>
      <c r="J43" s="826">
        <f t="shared" si="9"/>
        <v>398828</v>
      </c>
      <c r="K43" s="826">
        <f t="shared" si="9"/>
        <v>398828</v>
      </c>
      <c r="L43" s="826">
        <f t="shared" si="9"/>
        <v>398828</v>
      </c>
      <c r="M43" s="826">
        <f t="shared" si="9"/>
        <v>398828</v>
      </c>
      <c r="N43" s="826">
        <f t="shared" si="9"/>
        <v>398828</v>
      </c>
      <c r="O43" s="827">
        <f>SUM(C43:N43)</f>
        <v>4807196.2766666664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G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AC91" sqref="AC9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" style="17" customWidth="1"/>
    <col min="5" max="5" width="5.5703125" style="17" customWidth="1"/>
    <col min="6" max="6" width="4.7109375" style="17" customWidth="1"/>
    <col min="7" max="7" width="5.42578125" style="17" customWidth="1"/>
    <col min="8" max="8" width="4" style="17" customWidth="1"/>
    <col min="9" max="9" width="5.7109375" style="17" customWidth="1"/>
    <col min="10" max="10" width="4" style="17" customWidth="1"/>
    <col min="11" max="11" width="5.7109375" style="17" customWidth="1"/>
    <col min="12" max="12" width="7.28515625" style="17" customWidth="1"/>
    <col min="13" max="13" width="6.7109375" style="17" customWidth="1"/>
    <col min="14" max="14" width="5.140625" style="17" customWidth="1"/>
    <col min="15" max="15" width="5.7109375" style="17" customWidth="1"/>
    <col min="16" max="16" width="6.7109375" style="17" customWidth="1"/>
    <col min="17" max="17" width="6.42578125" style="17" customWidth="1"/>
    <col min="18" max="18" width="6.7109375" style="17" customWidth="1"/>
    <col min="19" max="19" width="6.85546875" style="17" customWidth="1"/>
    <col min="20" max="20" width="6.5703125" style="17" customWidth="1"/>
    <col min="21" max="21" width="7.140625" style="17" customWidth="1"/>
    <col min="22" max="22" width="6" style="17" customWidth="1"/>
    <col min="23" max="23" width="7.5703125" style="17" customWidth="1"/>
    <col min="24" max="16384" width="9.140625" style="16"/>
  </cols>
  <sheetData>
    <row r="1" spans="1:24" ht="15.75" customHeight="1" x14ac:dyDescent="0.25">
      <c r="A1" s="1334" t="s">
        <v>1248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  <c r="N1" s="1334"/>
      <c r="O1" s="1334"/>
      <c r="P1" s="1334"/>
      <c r="Q1" s="1334"/>
      <c r="R1" s="1334"/>
      <c r="S1" s="1334"/>
      <c r="T1" s="1334"/>
      <c r="U1" s="1334"/>
      <c r="V1" s="1334"/>
      <c r="W1" s="1334"/>
    </row>
    <row r="2" spans="1:24" ht="15.75" customHeight="1" x14ac:dyDescent="0.25">
      <c r="A2" s="1340" t="s">
        <v>54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</row>
    <row r="3" spans="1:24" ht="15.75" customHeight="1" x14ac:dyDescent="0.25">
      <c r="A3" s="1340" t="s">
        <v>1134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</row>
    <row r="4" spans="1:24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 t="s">
        <v>696</v>
      </c>
    </row>
    <row r="5" spans="1:24" ht="27.75" customHeight="1" x14ac:dyDescent="0.25">
      <c r="A5" s="1341" t="s">
        <v>70</v>
      </c>
      <c r="B5" s="42" t="s">
        <v>57</v>
      </c>
      <c r="C5" s="1342" t="s">
        <v>58</v>
      </c>
      <c r="D5" s="1342"/>
      <c r="E5" s="1342"/>
      <c r="F5" s="1342" t="s">
        <v>59</v>
      </c>
      <c r="G5" s="1342"/>
      <c r="H5" s="1342" t="s">
        <v>60</v>
      </c>
      <c r="I5" s="1342"/>
      <c r="J5" s="1343" t="s">
        <v>499</v>
      </c>
      <c r="K5" s="1343"/>
      <c r="L5" s="1342" t="s">
        <v>500</v>
      </c>
      <c r="M5" s="1342"/>
      <c r="N5" s="1342" t="s">
        <v>501</v>
      </c>
      <c r="O5" s="1342"/>
      <c r="P5" s="1344" t="s">
        <v>629</v>
      </c>
      <c r="Q5" s="1344"/>
      <c r="R5" s="1344"/>
      <c r="S5" s="1342" t="s">
        <v>640</v>
      </c>
      <c r="T5" s="1342"/>
      <c r="U5" s="1342" t="s">
        <v>641</v>
      </c>
      <c r="V5" s="1342"/>
      <c r="W5" s="1342"/>
    </row>
    <row r="6" spans="1:24" s="4" customFormat="1" ht="30.75" customHeight="1" x14ac:dyDescent="0.2">
      <c r="A6" s="1341"/>
      <c r="B6" s="1307" t="s">
        <v>697</v>
      </c>
      <c r="C6" s="1345" t="s">
        <v>698</v>
      </c>
      <c r="D6" s="1345"/>
      <c r="E6" s="1345"/>
      <c r="F6" s="1345"/>
      <c r="G6" s="1345"/>
      <c r="H6" s="1345" t="s">
        <v>699</v>
      </c>
      <c r="I6" s="1345"/>
      <c r="J6" s="1345"/>
      <c r="K6" s="1345"/>
      <c r="L6" s="1339" t="s">
        <v>700</v>
      </c>
      <c r="M6" s="1339"/>
      <c r="N6" s="1339"/>
      <c r="O6" s="1339"/>
      <c r="P6" s="1339" t="s">
        <v>564</v>
      </c>
      <c r="Q6" s="1339"/>
      <c r="R6" s="1339"/>
      <c r="S6" s="1339"/>
      <c r="T6" s="1339"/>
      <c r="U6" s="1194" t="s">
        <v>701</v>
      </c>
      <c r="V6" s="1194"/>
      <c r="W6" s="1194"/>
    </row>
    <row r="7" spans="1:24" s="4" customFormat="1" ht="40.5" customHeight="1" x14ac:dyDescent="0.2">
      <c r="A7" s="1341"/>
      <c r="B7" s="1307"/>
      <c r="C7" s="1337" t="s">
        <v>702</v>
      </c>
      <c r="D7" s="1337"/>
      <c r="E7" s="1337"/>
      <c r="F7" s="1139" t="s">
        <v>703</v>
      </c>
      <c r="G7" s="1139"/>
      <c r="H7" s="1337" t="s">
        <v>704</v>
      </c>
      <c r="I7" s="1337"/>
      <c r="J7" s="1337" t="s">
        <v>703</v>
      </c>
      <c r="K7" s="1337"/>
      <c r="L7" s="1338" t="s">
        <v>704</v>
      </c>
      <c r="M7" s="1338"/>
      <c r="N7" s="1337" t="s">
        <v>703</v>
      </c>
      <c r="O7" s="1337"/>
      <c r="P7" s="1338" t="s">
        <v>704</v>
      </c>
      <c r="Q7" s="1338"/>
      <c r="R7" s="1338"/>
      <c r="S7" s="1338" t="s">
        <v>705</v>
      </c>
      <c r="T7" s="1338"/>
      <c r="U7" s="1194"/>
      <c r="V7" s="1194"/>
      <c r="W7" s="1194"/>
    </row>
    <row r="8" spans="1:24" s="4" customFormat="1" ht="27" customHeight="1" x14ac:dyDescent="0.2">
      <c r="A8" s="1341"/>
      <c r="B8" s="1307"/>
      <c r="C8" s="43">
        <v>42736</v>
      </c>
      <c r="D8" s="43">
        <v>43009</v>
      </c>
      <c r="E8" s="43">
        <v>43100</v>
      </c>
      <c r="F8" s="43">
        <v>42736</v>
      </c>
      <c r="G8" s="43">
        <v>43100</v>
      </c>
      <c r="H8" s="43">
        <v>42736</v>
      </c>
      <c r="I8" s="43">
        <v>43100</v>
      </c>
      <c r="J8" s="43">
        <v>42736</v>
      </c>
      <c r="K8" s="43">
        <v>43100</v>
      </c>
      <c r="L8" s="43">
        <v>42736</v>
      </c>
      <c r="M8" s="43">
        <v>43100</v>
      </c>
      <c r="N8" s="43">
        <v>42736</v>
      </c>
      <c r="O8" s="43">
        <v>43100</v>
      </c>
      <c r="P8" s="43">
        <v>42736</v>
      </c>
      <c r="Q8" s="43">
        <v>43009</v>
      </c>
      <c r="R8" s="43">
        <v>43100</v>
      </c>
      <c r="S8" s="43">
        <v>42736</v>
      </c>
      <c r="T8" s="43">
        <v>43100</v>
      </c>
      <c r="U8" s="43">
        <v>42736</v>
      </c>
      <c r="V8" s="897">
        <v>43009</v>
      </c>
      <c r="W8" s="43">
        <v>43100</v>
      </c>
    </row>
    <row r="9" spans="1:24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4" s="4" customFormat="1" ht="13.9" customHeight="1" x14ac:dyDescent="0.25">
      <c r="A10" s="44" t="s">
        <v>508</v>
      </c>
      <c r="B10" s="46" t="s">
        <v>87</v>
      </c>
      <c r="C10" s="47" t="s">
        <v>1147</v>
      </c>
      <c r="D10" s="47" t="s">
        <v>1015</v>
      </c>
      <c r="E10" s="47" t="s">
        <v>322</v>
      </c>
      <c r="F10" s="47"/>
      <c r="G10" s="47"/>
      <c r="H10" s="47">
        <v>2</v>
      </c>
      <c r="I10" s="47" t="s">
        <v>706</v>
      </c>
      <c r="J10" s="47"/>
      <c r="K10" s="47"/>
      <c r="L10" s="47" t="s">
        <v>598</v>
      </c>
      <c r="M10" s="47" t="s">
        <v>598</v>
      </c>
      <c r="N10" s="47" t="s">
        <v>598</v>
      </c>
      <c r="O10" s="47" t="s">
        <v>598</v>
      </c>
      <c r="P10" s="1039">
        <v>7</v>
      </c>
      <c r="Q10" s="47" t="s">
        <v>1015</v>
      </c>
      <c r="R10" s="47" t="s">
        <v>957</v>
      </c>
      <c r="S10" s="47" t="s">
        <v>598</v>
      </c>
      <c r="T10" s="47" t="s">
        <v>598</v>
      </c>
      <c r="U10" s="1041">
        <f>C10+H10+L10</f>
        <v>7</v>
      </c>
      <c r="V10" s="964" t="str">
        <f>Q10</f>
        <v>-1</v>
      </c>
      <c r="W10" s="530">
        <f>U10+V10</f>
        <v>6</v>
      </c>
    </row>
    <row r="11" spans="1:24" s="4" customFormat="1" ht="13.9" customHeight="1" x14ac:dyDescent="0.25">
      <c r="A11" s="44"/>
      <c r="B11" s="31"/>
      <c r="C11" s="48"/>
      <c r="D11" s="48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17" customFormat="1" ht="14.45" customHeight="1" x14ac:dyDescent="0.25">
      <c r="A12" s="5" t="s">
        <v>516</v>
      </c>
      <c r="B12" s="49" t="s">
        <v>707</v>
      </c>
      <c r="C12" s="50">
        <v>3</v>
      </c>
      <c r="D12" s="50"/>
      <c r="E12" s="51">
        <f>C12+D12</f>
        <v>3</v>
      </c>
      <c r="F12" s="51"/>
      <c r="G12" s="51"/>
      <c r="H12" s="51">
        <v>36</v>
      </c>
      <c r="I12" s="51">
        <f>H12</f>
        <v>36</v>
      </c>
      <c r="J12" s="51"/>
      <c r="K12" s="51"/>
      <c r="L12" s="51">
        <v>0</v>
      </c>
      <c r="M12" s="51">
        <v>0</v>
      </c>
      <c r="N12" s="51">
        <v>0</v>
      </c>
      <c r="O12" s="51">
        <v>0</v>
      </c>
      <c r="P12" s="51">
        <f>C12+H12+L12</f>
        <v>39</v>
      </c>
      <c r="Q12" s="898"/>
      <c r="R12" s="51">
        <f>SUM(P12:Q12)</f>
        <v>39</v>
      </c>
      <c r="S12" s="51">
        <v>0</v>
      </c>
      <c r="T12" s="51">
        <v>0</v>
      </c>
      <c r="U12" s="53">
        <f>P12</f>
        <v>39</v>
      </c>
      <c r="V12" s="899">
        <f>Q12</f>
        <v>0</v>
      </c>
      <c r="W12" s="53">
        <f>U12++V12</f>
        <v>39</v>
      </c>
    </row>
    <row r="13" spans="1:24" s="17" customFormat="1" ht="14.45" customHeight="1" x14ac:dyDescent="0.25">
      <c r="A13" s="5"/>
    </row>
    <row r="14" spans="1:24" ht="15.75" customHeight="1" x14ac:dyDescent="0.25">
      <c r="A14" s="5"/>
      <c r="B14" s="54"/>
      <c r="C14" s="55"/>
      <c r="D14" s="55"/>
      <c r="E14" s="56"/>
      <c r="F14" s="56"/>
      <c r="G14" s="56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58"/>
      <c r="T14" s="58"/>
      <c r="U14" s="58"/>
      <c r="V14" s="58"/>
      <c r="W14" s="58"/>
    </row>
    <row r="15" spans="1:24" s="17" customFormat="1" ht="14.45" customHeight="1" x14ac:dyDescent="0.25">
      <c r="A15" s="5" t="s">
        <v>517</v>
      </c>
      <c r="B15" s="59" t="s">
        <v>708</v>
      </c>
      <c r="C15" s="60"/>
      <c r="D15" s="60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3"/>
      <c r="S15" s="63"/>
      <c r="T15" s="63"/>
      <c r="U15" s="63"/>
      <c r="V15" s="63"/>
      <c r="W15" s="63"/>
    </row>
    <row r="16" spans="1:24" s="17" customFormat="1" ht="14.45" customHeight="1" x14ac:dyDescent="0.25">
      <c r="A16" s="5" t="s">
        <v>518</v>
      </c>
      <c r="B16" s="64" t="s">
        <v>709</v>
      </c>
      <c r="C16" s="1040"/>
      <c r="D16" s="65"/>
      <c r="E16" s="66"/>
      <c r="F16" s="66"/>
      <c r="G16" s="66"/>
      <c r="H16" s="66"/>
      <c r="I16" s="66"/>
      <c r="J16" s="66"/>
      <c r="K16" s="66"/>
      <c r="L16" s="1076">
        <v>22.5</v>
      </c>
      <c r="M16" s="1077">
        <f t="shared" ref="M16:M23" si="0">L16</f>
        <v>22.5</v>
      </c>
      <c r="N16" s="1076"/>
      <c r="O16" s="1076"/>
      <c r="P16" s="1077">
        <f t="shared" ref="P16:P24" si="1">C16+H16+L16</f>
        <v>22.5</v>
      </c>
      <c r="Q16" s="1077"/>
      <c r="R16" s="1077">
        <f t="shared" ref="R16:R23" si="2">E16+I16+M16</f>
        <v>22.5</v>
      </c>
      <c r="S16" s="1077"/>
      <c r="T16" s="1077"/>
      <c r="U16" s="1077">
        <f t="shared" ref="U16:U21" si="3">P16+S16/2</f>
        <v>22.5</v>
      </c>
      <c r="V16" s="1077"/>
      <c r="W16" s="1077">
        <f t="shared" ref="W16:W23" si="4">R16+T16/2</f>
        <v>22.5</v>
      </c>
      <c r="X16" s="1042"/>
    </row>
    <row r="17" spans="1:24" s="17" customFormat="1" ht="14.45" customHeight="1" x14ac:dyDescent="0.25">
      <c r="A17" s="5" t="s">
        <v>519</v>
      </c>
      <c r="B17" s="64" t="s">
        <v>1005</v>
      </c>
      <c r="C17" s="65"/>
      <c r="D17" s="65"/>
      <c r="E17" s="66"/>
      <c r="F17" s="66"/>
      <c r="G17" s="66"/>
      <c r="H17" s="66"/>
      <c r="I17" s="66"/>
      <c r="J17" s="66"/>
      <c r="K17" s="66"/>
      <c r="L17" s="66">
        <v>20</v>
      </c>
      <c r="M17" s="51">
        <f t="shared" si="0"/>
        <v>20</v>
      </c>
      <c r="N17" s="66"/>
      <c r="O17" s="66"/>
      <c r="P17" s="51">
        <f t="shared" si="1"/>
        <v>20</v>
      </c>
      <c r="Q17" s="51"/>
      <c r="R17" s="51">
        <f t="shared" si="2"/>
        <v>20</v>
      </c>
      <c r="S17" s="51"/>
      <c r="T17" s="51"/>
      <c r="U17" s="51">
        <f t="shared" si="3"/>
        <v>20</v>
      </c>
      <c r="V17" s="51"/>
      <c r="W17" s="51">
        <f t="shared" si="4"/>
        <v>20</v>
      </c>
    </row>
    <row r="18" spans="1:24" s="17" customFormat="1" ht="14.45" customHeight="1" x14ac:dyDescent="0.25">
      <c r="A18" s="5" t="s">
        <v>520</v>
      </c>
      <c r="B18" s="64" t="s">
        <v>1006</v>
      </c>
      <c r="C18" s="65"/>
      <c r="D18" s="65"/>
      <c r="E18" s="66"/>
      <c r="F18" s="66"/>
      <c r="G18" s="66"/>
      <c r="H18" s="66"/>
      <c r="I18" s="66"/>
      <c r="J18" s="66"/>
      <c r="K18" s="66"/>
      <c r="L18" s="66">
        <v>9</v>
      </c>
      <c r="M18" s="51">
        <f t="shared" si="0"/>
        <v>9</v>
      </c>
      <c r="N18" s="66"/>
      <c r="O18" s="66"/>
      <c r="P18" s="51">
        <f t="shared" si="1"/>
        <v>9</v>
      </c>
      <c r="Q18" s="51"/>
      <c r="R18" s="51">
        <f t="shared" si="2"/>
        <v>9</v>
      </c>
      <c r="S18" s="51"/>
      <c r="T18" s="51"/>
      <c r="U18" s="51">
        <f t="shared" si="3"/>
        <v>9</v>
      </c>
      <c r="V18" s="51"/>
      <c r="W18" s="51">
        <f t="shared" si="4"/>
        <v>9</v>
      </c>
    </row>
    <row r="19" spans="1:24" s="17" customFormat="1" ht="14.45" customHeight="1" x14ac:dyDescent="0.25">
      <c r="A19" s="5" t="s">
        <v>521</v>
      </c>
      <c r="B19" s="64" t="s">
        <v>1007</v>
      </c>
      <c r="C19" s="65"/>
      <c r="D19" s="65"/>
      <c r="E19" s="66"/>
      <c r="F19" s="66"/>
      <c r="G19" s="66"/>
      <c r="H19" s="66"/>
      <c r="I19" s="66"/>
      <c r="J19" s="66"/>
      <c r="K19" s="66"/>
      <c r="L19" s="66">
        <v>11</v>
      </c>
      <c r="M19" s="51">
        <f t="shared" si="0"/>
        <v>11</v>
      </c>
      <c r="N19" s="66"/>
      <c r="O19" s="66"/>
      <c r="P19" s="51">
        <f t="shared" si="1"/>
        <v>11</v>
      </c>
      <c r="Q19" s="51"/>
      <c r="R19" s="51">
        <f t="shared" si="2"/>
        <v>11</v>
      </c>
      <c r="S19" s="51"/>
      <c r="T19" s="51"/>
      <c r="U19" s="51">
        <f t="shared" si="3"/>
        <v>11</v>
      </c>
      <c r="V19" s="51"/>
      <c r="W19" s="51">
        <f t="shared" si="4"/>
        <v>11</v>
      </c>
    </row>
    <row r="20" spans="1:24" s="17" customFormat="1" ht="14.45" customHeight="1" x14ac:dyDescent="0.25">
      <c r="A20" s="5" t="s">
        <v>522</v>
      </c>
      <c r="B20" s="64" t="s">
        <v>710</v>
      </c>
      <c r="C20" s="65"/>
      <c r="D20" s="65"/>
      <c r="E20" s="66"/>
      <c r="F20" s="66"/>
      <c r="G20" s="66"/>
      <c r="H20" s="66"/>
      <c r="I20" s="66"/>
      <c r="J20" s="66"/>
      <c r="K20" s="66"/>
      <c r="L20" s="66">
        <v>1</v>
      </c>
      <c r="M20" s="51">
        <f t="shared" si="0"/>
        <v>1</v>
      </c>
      <c r="N20" s="66"/>
      <c r="O20" s="66"/>
      <c r="P20" s="51">
        <f t="shared" si="1"/>
        <v>1</v>
      </c>
      <c r="Q20" s="51"/>
      <c r="R20" s="51">
        <f t="shared" si="2"/>
        <v>1</v>
      </c>
      <c r="S20" s="51"/>
      <c r="T20" s="51"/>
      <c r="U20" s="51">
        <f t="shared" si="3"/>
        <v>1</v>
      </c>
      <c r="V20" s="51"/>
      <c r="W20" s="51">
        <f t="shared" si="4"/>
        <v>1</v>
      </c>
    </row>
    <row r="21" spans="1:24" s="17" customFormat="1" ht="14.45" customHeight="1" x14ac:dyDescent="0.25">
      <c r="A21" s="5" t="s">
        <v>523</v>
      </c>
      <c r="B21" s="64" t="s">
        <v>711</v>
      </c>
      <c r="C21" s="65"/>
      <c r="D21" s="65"/>
      <c r="E21" s="66"/>
      <c r="F21" s="66"/>
      <c r="G21" s="66"/>
      <c r="H21" s="66"/>
      <c r="I21" s="66"/>
      <c r="J21" s="66"/>
      <c r="K21" s="66"/>
      <c r="L21" s="66">
        <v>5</v>
      </c>
      <c r="M21" s="51">
        <f t="shared" si="0"/>
        <v>5</v>
      </c>
      <c r="N21" s="66"/>
      <c r="O21" s="66"/>
      <c r="P21" s="51">
        <f t="shared" si="1"/>
        <v>5</v>
      </c>
      <c r="Q21" s="51"/>
      <c r="R21" s="51">
        <f t="shared" si="2"/>
        <v>5</v>
      </c>
      <c r="S21" s="51"/>
      <c r="T21" s="51"/>
      <c r="U21" s="51">
        <f t="shared" si="3"/>
        <v>5</v>
      </c>
      <c r="V21" s="51"/>
      <c r="W21" s="51">
        <f t="shared" si="4"/>
        <v>5</v>
      </c>
    </row>
    <row r="22" spans="1:24" s="17" customFormat="1" ht="14.45" customHeight="1" x14ac:dyDescent="0.25">
      <c r="A22" s="5" t="s">
        <v>566</v>
      </c>
      <c r="B22" s="64" t="s">
        <v>985</v>
      </c>
      <c r="C22" s="65"/>
      <c r="D22" s="65"/>
      <c r="E22" s="66"/>
      <c r="F22" s="66"/>
      <c r="G22" s="66"/>
      <c r="H22" s="66"/>
      <c r="I22" s="66"/>
      <c r="J22" s="66"/>
      <c r="K22" s="66"/>
      <c r="L22" s="66">
        <v>3</v>
      </c>
      <c r="M22" s="51">
        <f t="shared" si="0"/>
        <v>3</v>
      </c>
      <c r="N22" s="66"/>
      <c r="O22" s="66"/>
      <c r="P22" s="51">
        <f t="shared" si="1"/>
        <v>3</v>
      </c>
      <c r="Q22" s="51"/>
      <c r="R22" s="51">
        <f t="shared" si="2"/>
        <v>3</v>
      </c>
      <c r="S22" s="51"/>
      <c r="T22" s="51"/>
      <c r="U22" s="51">
        <v>3</v>
      </c>
      <c r="V22" s="51"/>
      <c r="W22" s="51">
        <f t="shared" si="4"/>
        <v>3</v>
      </c>
    </row>
    <row r="23" spans="1:24" s="17" customFormat="1" ht="14.45" customHeight="1" x14ac:dyDescent="0.25">
      <c r="A23" s="5" t="s">
        <v>567</v>
      </c>
      <c r="B23" s="64" t="s">
        <v>713</v>
      </c>
      <c r="C23" s="65"/>
      <c r="D23" s="65"/>
      <c r="E23" s="66"/>
      <c r="F23" s="66"/>
      <c r="G23" s="66"/>
      <c r="H23" s="66"/>
      <c r="I23" s="66"/>
      <c r="J23" s="66"/>
      <c r="K23" s="66"/>
      <c r="L23" s="66">
        <v>4</v>
      </c>
      <c r="M23" s="51">
        <f t="shared" si="0"/>
        <v>4</v>
      </c>
      <c r="N23" s="66"/>
      <c r="O23" s="66"/>
      <c r="P23" s="51">
        <f t="shared" si="1"/>
        <v>4</v>
      </c>
      <c r="Q23" s="51"/>
      <c r="R23" s="51">
        <f t="shared" si="2"/>
        <v>4</v>
      </c>
      <c r="S23" s="51"/>
      <c r="T23" s="51"/>
      <c r="U23" s="51">
        <f>P23+S23/2</f>
        <v>4</v>
      </c>
      <c r="V23" s="51"/>
      <c r="W23" s="51">
        <f t="shared" si="4"/>
        <v>4</v>
      </c>
    </row>
    <row r="24" spans="1:24" s="17" customFormat="1" ht="14.45" customHeight="1" x14ac:dyDescent="0.25">
      <c r="A24" s="5" t="s">
        <v>568</v>
      </c>
      <c r="B24" s="49" t="s">
        <v>714</v>
      </c>
      <c r="C24" s="50"/>
      <c r="D24" s="50"/>
      <c r="E24" s="67"/>
      <c r="F24" s="67"/>
      <c r="G24" s="67"/>
      <c r="H24" s="67"/>
      <c r="I24" s="66"/>
      <c r="J24" s="66"/>
      <c r="K24" s="66"/>
      <c r="L24" s="51">
        <f>SUM(L16:L23)</f>
        <v>75.5</v>
      </c>
      <c r="M24" s="51">
        <f>SUM(M16:M23)</f>
        <v>75.5</v>
      </c>
      <c r="N24" s="51">
        <v>0</v>
      </c>
      <c r="O24" s="51">
        <v>0</v>
      </c>
      <c r="P24" s="51">
        <f t="shared" si="1"/>
        <v>75.5</v>
      </c>
      <c r="Q24" s="51"/>
      <c r="R24" s="51">
        <f>SUM(R16:R23)</f>
        <v>75.5</v>
      </c>
      <c r="S24" s="51">
        <v>0</v>
      </c>
      <c r="T24" s="51">
        <v>0</v>
      </c>
      <c r="U24" s="276">
        <f>P24+S24/2</f>
        <v>75.5</v>
      </c>
      <c r="V24" s="898">
        <v>0</v>
      </c>
      <c r="W24" s="51">
        <f>SUM(W16:W23)</f>
        <v>75.5</v>
      </c>
      <c r="X24" s="840"/>
    </row>
    <row r="25" spans="1:24" s="17" customFormat="1" ht="13.5" customHeight="1" x14ac:dyDescent="0.25">
      <c r="A25" s="5"/>
      <c r="B25" s="131"/>
      <c r="C25" s="132"/>
      <c r="D25" s="132"/>
      <c r="E25" s="133"/>
      <c r="F25" s="133"/>
      <c r="G25" s="133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spans="1:24" ht="12.75" customHeight="1" x14ac:dyDescent="0.25">
      <c r="A26" s="5"/>
      <c r="B26" s="54"/>
      <c r="C26" s="55"/>
      <c r="D26" s="55"/>
      <c r="E26" s="56"/>
      <c r="F26" s="56"/>
      <c r="G26" s="56"/>
      <c r="H26" s="56"/>
      <c r="I26" s="74"/>
      <c r="J26" s="74"/>
      <c r="K26" s="74"/>
      <c r="L26" s="74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7" spans="1:24" s="17" customFormat="1" ht="27" customHeight="1" x14ac:dyDescent="0.25">
      <c r="A27" s="5" t="s">
        <v>569</v>
      </c>
      <c r="B27" s="59" t="s">
        <v>715</v>
      </c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57"/>
      <c r="Q27" s="57"/>
      <c r="R27" s="57"/>
      <c r="S27" s="57"/>
      <c r="T27" s="57"/>
      <c r="U27" s="57"/>
      <c r="V27" s="57"/>
      <c r="W27" s="61"/>
    </row>
    <row r="28" spans="1:24" s="17" customFormat="1" ht="14.45" customHeight="1" x14ac:dyDescent="0.25">
      <c r="A28" s="5" t="s">
        <v>570</v>
      </c>
      <c r="B28" s="64" t="s">
        <v>631</v>
      </c>
      <c r="C28" s="65"/>
      <c r="D28" s="65"/>
      <c r="E28" s="66"/>
      <c r="F28" s="66"/>
      <c r="G28" s="66"/>
      <c r="H28" s="66"/>
      <c r="I28" s="51"/>
      <c r="J28" s="51"/>
      <c r="K28" s="51"/>
      <c r="L28" s="66">
        <v>7</v>
      </c>
      <c r="M28" s="51">
        <f t="shared" ref="M28:M38" si="5">L28</f>
        <v>7</v>
      </c>
      <c r="N28" s="66"/>
      <c r="O28" s="66"/>
      <c r="P28" s="51">
        <f>C28+H28+L28</f>
        <v>7</v>
      </c>
      <c r="Q28" s="51"/>
      <c r="R28" s="51">
        <f t="shared" ref="R28:R40" si="6">E28+I28+M28</f>
        <v>7</v>
      </c>
      <c r="S28" s="51"/>
      <c r="T28" s="51"/>
      <c r="U28" s="51">
        <f t="shared" ref="U28:U40" si="7">C28+H28+L28+N28/2</f>
        <v>7</v>
      </c>
      <c r="V28" s="66"/>
      <c r="W28" s="51">
        <f t="shared" ref="W28:W40" si="8">E28+I28+M28+O28/2</f>
        <v>7</v>
      </c>
      <c r="X28" s="29"/>
    </row>
    <row r="29" spans="1:24" s="17" customFormat="1" ht="14.45" customHeight="1" x14ac:dyDescent="0.25">
      <c r="A29" s="5" t="s">
        <v>571</v>
      </c>
      <c r="B29" s="64" t="s">
        <v>716</v>
      </c>
      <c r="C29" s="65"/>
      <c r="D29" s="65"/>
      <c r="E29" s="66"/>
      <c r="F29" s="66"/>
      <c r="G29" s="66"/>
      <c r="H29" s="66"/>
      <c r="I29" s="66"/>
      <c r="J29" s="66"/>
      <c r="K29" s="66"/>
      <c r="L29" s="66">
        <v>1</v>
      </c>
      <c r="M29" s="51">
        <f t="shared" si="5"/>
        <v>1</v>
      </c>
      <c r="N29" s="66"/>
      <c r="O29" s="66"/>
      <c r="P29" s="51">
        <f>C29+H29+L29</f>
        <v>1</v>
      </c>
      <c r="Q29" s="51"/>
      <c r="R29" s="51">
        <f t="shared" si="6"/>
        <v>1</v>
      </c>
      <c r="S29" s="51"/>
      <c r="T29" s="51"/>
      <c r="U29" s="51">
        <f t="shared" si="7"/>
        <v>1</v>
      </c>
      <c r="V29" s="66"/>
      <c r="W29" s="51">
        <f t="shared" si="8"/>
        <v>1</v>
      </c>
      <c r="X29" s="29"/>
    </row>
    <row r="30" spans="1:24" s="17" customFormat="1" ht="28.5" customHeight="1" x14ac:dyDescent="0.25">
      <c r="A30" s="5" t="s">
        <v>572</v>
      </c>
      <c r="B30" s="64" t="s">
        <v>1089</v>
      </c>
      <c r="C30" s="65"/>
      <c r="D30" s="65"/>
      <c r="E30" s="66"/>
      <c r="F30" s="66"/>
      <c r="G30" s="66"/>
      <c r="H30" s="66"/>
      <c r="I30" s="66"/>
      <c r="J30" s="66"/>
      <c r="K30" s="66"/>
      <c r="L30" s="66">
        <v>31</v>
      </c>
      <c r="M30" s="51">
        <f t="shared" si="5"/>
        <v>31</v>
      </c>
      <c r="N30" s="66">
        <v>1</v>
      </c>
      <c r="O30" s="66">
        <v>1</v>
      </c>
      <c r="P30" s="51">
        <v>31</v>
      </c>
      <c r="Q30" s="51"/>
      <c r="R30" s="51">
        <f t="shared" si="6"/>
        <v>31</v>
      </c>
      <c r="S30" s="1077">
        <f>N30+J30+F30</f>
        <v>1</v>
      </c>
      <c r="T30" s="1077">
        <f>G30+K30+O30</f>
        <v>1</v>
      </c>
      <c r="U30" s="1077">
        <f t="shared" si="7"/>
        <v>31.5</v>
      </c>
      <c r="V30" s="1076"/>
      <c r="W30" s="1077">
        <f t="shared" si="8"/>
        <v>31.5</v>
      </c>
      <c r="X30" s="29"/>
    </row>
    <row r="31" spans="1:24" s="17" customFormat="1" ht="14.45" customHeight="1" x14ac:dyDescent="0.25">
      <c r="A31" s="5" t="s">
        <v>574</v>
      </c>
      <c r="B31" s="64" t="s">
        <v>717</v>
      </c>
      <c r="C31" s="65"/>
      <c r="D31" s="65"/>
      <c r="E31" s="66"/>
      <c r="F31" s="66"/>
      <c r="G31" s="66"/>
      <c r="H31" s="66"/>
      <c r="I31" s="66"/>
      <c r="J31" s="66"/>
      <c r="K31" s="66"/>
      <c r="L31" s="66">
        <v>2</v>
      </c>
      <c r="M31" s="51">
        <f t="shared" si="5"/>
        <v>2</v>
      </c>
      <c r="N31" s="66"/>
      <c r="O31" s="66"/>
      <c r="P31" s="51">
        <f>C31+H31+L31</f>
        <v>2</v>
      </c>
      <c r="Q31" s="51"/>
      <c r="R31" s="51">
        <f t="shared" si="6"/>
        <v>2</v>
      </c>
      <c r="S31" s="51"/>
      <c r="T31" s="51"/>
      <c r="U31" s="51">
        <f t="shared" si="7"/>
        <v>2</v>
      </c>
      <c r="V31" s="66"/>
      <c r="W31" s="51">
        <f t="shared" si="8"/>
        <v>2</v>
      </c>
      <c r="X31" s="29"/>
    </row>
    <row r="32" spans="1:24" s="17" customFormat="1" ht="14.45" customHeight="1" x14ac:dyDescent="0.25">
      <c r="A32" s="5" t="s">
        <v>575</v>
      </c>
      <c r="B32" s="64" t="s">
        <v>733</v>
      </c>
      <c r="C32" s="65"/>
      <c r="D32" s="65"/>
      <c r="E32" s="66"/>
      <c r="F32" s="66"/>
      <c r="G32" s="66"/>
      <c r="H32" s="66"/>
      <c r="I32" s="66"/>
      <c r="J32" s="66"/>
      <c r="K32" s="66"/>
      <c r="L32" s="66">
        <v>2</v>
      </c>
      <c r="M32" s="51">
        <f t="shared" si="5"/>
        <v>2</v>
      </c>
      <c r="N32" s="66"/>
      <c r="O32" s="66"/>
      <c r="P32" s="51">
        <f>C32+H32+L32</f>
        <v>2</v>
      </c>
      <c r="Q32" s="51"/>
      <c r="R32" s="51">
        <f t="shared" si="6"/>
        <v>2</v>
      </c>
      <c r="S32" s="51"/>
      <c r="T32" s="51"/>
      <c r="U32" s="51">
        <f t="shared" si="7"/>
        <v>2</v>
      </c>
      <c r="V32" s="51"/>
      <c r="W32" s="51">
        <f t="shared" si="8"/>
        <v>2</v>
      </c>
      <c r="X32" s="29"/>
    </row>
    <row r="33" spans="1:26" s="17" customFormat="1" ht="14.45" customHeight="1" x14ac:dyDescent="0.25">
      <c r="A33" s="5" t="s">
        <v>576</v>
      </c>
      <c r="B33" s="64" t="s">
        <v>718</v>
      </c>
      <c r="C33" s="65"/>
      <c r="D33" s="65"/>
      <c r="E33" s="66"/>
      <c r="F33" s="66"/>
      <c r="G33" s="66"/>
      <c r="H33" s="66"/>
      <c r="I33" s="66"/>
      <c r="J33" s="66"/>
      <c r="K33" s="66"/>
      <c r="L33" s="66">
        <v>2</v>
      </c>
      <c r="M33" s="51">
        <f t="shared" si="5"/>
        <v>2</v>
      </c>
      <c r="N33" s="66"/>
      <c r="O33" s="66"/>
      <c r="P33" s="51">
        <v>2</v>
      </c>
      <c r="Q33" s="51"/>
      <c r="R33" s="51">
        <f t="shared" si="6"/>
        <v>2</v>
      </c>
      <c r="S33" s="51"/>
      <c r="T33" s="51"/>
      <c r="U33" s="51">
        <f t="shared" si="7"/>
        <v>2</v>
      </c>
      <c r="V33" s="66"/>
      <c r="W33" s="51">
        <f t="shared" si="8"/>
        <v>2</v>
      </c>
      <c r="X33" s="29"/>
      <c r="Z33" s="606"/>
    </row>
    <row r="34" spans="1:26" s="17" customFormat="1" ht="14.45" customHeight="1" x14ac:dyDescent="0.25">
      <c r="A34" s="5" t="s">
        <v>577</v>
      </c>
      <c r="B34" s="64" t="s">
        <v>719</v>
      </c>
      <c r="C34" s="65"/>
      <c r="D34" s="65"/>
      <c r="E34" s="66"/>
      <c r="F34" s="66"/>
      <c r="G34" s="66"/>
      <c r="H34" s="66"/>
      <c r="I34" s="66"/>
      <c r="J34" s="66"/>
      <c r="K34" s="66"/>
      <c r="L34" s="66">
        <v>5</v>
      </c>
      <c r="M34" s="51">
        <f t="shared" si="5"/>
        <v>5</v>
      </c>
      <c r="N34" s="66"/>
      <c r="O34" s="66"/>
      <c r="P34" s="51">
        <f>L34+N34</f>
        <v>5</v>
      </c>
      <c r="Q34" s="51"/>
      <c r="R34" s="51">
        <f t="shared" si="6"/>
        <v>5</v>
      </c>
      <c r="S34" s="51"/>
      <c r="T34" s="51"/>
      <c r="U34" s="51">
        <f t="shared" si="7"/>
        <v>5</v>
      </c>
      <c r="V34" s="66"/>
      <c r="W34" s="51">
        <f t="shared" si="8"/>
        <v>5</v>
      </c>
      <c r="X34" s="29"/>
    </row>
    <row r="35" spans="1:26" s="17" customFormat="1" ht="14.45" customHeight="1" x14ac:dyDescent="0.25">
      <c r="A35" s="5" t="s">
        <v>578</v>
      </c>
      <c r="B35" s="64" t="s">
        <v>712</v>
      </c>
      <c r="C35" s="65"/>
      <c r="D35" s="65"/>
      <c r="E35" s="66"/>
      <c r="F35" s="66"/>
      <c r="G35" s="66"/>
      <c r="H35" s="66"/>
      <c r="I35" s="66"/>
      <c r="J35" s="66"/>
      <c r="K35" s="66"/>
      <c r="L35" s="66">
        <v>4</v>
      </c>
      <c r="M35" s="51">
        <f t="shared" si="5"/>
        <v>4</v>
      </c>
      <c r="N35" s="66"/>
      <c r="O35" s="66"/>
      <c r="P35" s="51">
        <v>4</v>
      </c>
      <c r="Q35" s="51"/>
      <c r="R35" s="51">
        <f t="shared" si="6"/>
        <v>4</v>
      </c>
      <c r="S35" s="51"/>
      <c r="T35" s="51"/>
      <c r="U35" s="51">
        <f t="shared" si="7"/>
        <v>4</v>
      </c>
      <c r="V35" s="66"/>
      <c r="W35" s="51">
        <f t="shared" si="8"/>
        <v>4</v>
      </c>
    </row>
    <row r="36" spans="1:26" s="17" customFormat="1" ht="14.45" customHeight="1" x14ac:dyDescent="0.25">
      <c r="A36" s="5" t="s">
        <v>579</v>
      </c>
      <c r="B36" s="64" t="s">
        <v>547</v>
      </c>
      <c r="C36" s="65"/>
      <c r="D36" s="65"/>
      <c r="E36" s="66"/>
      <c r="F36" s="66"/>
      <c r="G36" s="66"/>
      <c r="H36" s="66"/>
      <c r="I36" s="66"/>
      <c r="J36" s="66"/>
      <c r="K36" s="66"/>
      <c r="L36" s="66">
        <v>1</v>
      </c>
      <c r="M36" s="51">
        <f t="shared" si="5"/>
        <v>1</v>
      </c>
      <c r="N36" s="66"/>
      <c r="O36" s="66"/>
      <c r="P36" s="51">
        <v>1</v>
      </c>
      <c r="Q36" s="51"/>
      <c r="R36" s="51">
        <f t="shared" si="6"/>
        <v>1</v>
      </c>
      <c r="S36" s="51"/>
      <c r="T36" s="51"/>
      <c r="U36" s="51">
        <f t="shared" si="7"/>
        <v>1</v>
      </c>
      <c r="V36" s="66"/>
      <c r="W36" s="51">
        <f t="shared" si="8"/>
        <v>1</v>
      </c>
    </row>
    <row r="37" spans="1:26" s="17" customFormat="1" ht="14.45" customHeight="1" x14ac:dyDescent="0.25">
      <c r="A37" s="5" t="s">
        <v>580</v>
      </c>
      <c r="B37" s="64" t="s">
        <v>548</v>
      </c>
      <c r="C37" s="65"/>
      <c r="D37" s="65"/>
      <c r="E37" s="66"/>
      <c r="F37" s="66"/>
      <c r="G37" s="66"/>
      <c r="H37" s="66"/>
      <c r="I37" s="66"/>
      <c r="J37" s="66"/>
      <c r="K37" s="66"/>
      <c r="L37" s="66">
        <v>4</v>
      </c>
      <c r="M37" s="51">
        <f t="shared" si="5"/>
        <v>4</v>
      </c>
      <c r="N37" s="66"/>
      <c r="O37" s="66"/>
      <c r="P37" s="51">
        <v>4</v>
      </c>
      <c r="Q37" s="51"/>
      <c r="R37" s="51">
        <f t="shared" si="6"/>
        <v>4</v>
      </c>
      <c r="S37" s="51"/>
      <c r="T37" s="51"/>
      <c r="U37" s="51">
        <f t="shared" si="7"/>
        <v>4</v>
      </c>
      <c r="V37" s="66"/>
      <c r="W37" s="51">
        <f t="shared" si="8"/>
        <v>4</v>
      </c>
    </row>
    <row r="38" spans="1:26" s="17" customFormat="1" ht="14.25" customHeight="1" x14ac:dyDescent="0.25">
      <c r="A38" s="5" t="s">
        <v>581</v>
      </c>
      <c r="B38" s="64" t="s">
        <v>549</v>
      </c>
      <c r="C38" s="65"/>
      <c r="D38" s="65"/>
      <c r="E38" s="66"/>
      <c r="F38" s="66"/>
      <c r="G38" s="66"/>
      <c r="H38" s="66"/>
      <c r="I38" s="66"/>
      <c r="J38" s="66"/>
      <c r="K38" s="66"/>
      <c r="L38" s="66">
        <v>4</v>
      </c>
      <c r="M38" s="51">
        <f t="shared" si="5"/>
        <v>4</v>
      </c>
      <c r="N38" s="66"/>
      <c r="O38" s="66"/>
      <c r="P38" s="51">
        <v>4</v>
      </c>
      <c r="Q38" s="51"/>
      <c r="R38" s="51">
        <f t="shared" si="6"/>
        <v>4</v>
      </c>
      <c r="S38" s="51"/>
      <c r="T38" s="51"/>
      <c r="U38" s="51">
        <f t="shared" si="7"/>
        <v>4</v>
      </c>
      <c r="V38" s="66"/>
      <c r="W38" s="51">
        <f t="shared" si="8"/>
        <v>4</v>
      </c>
    </row>
    <row r="39" spans="1:26" s="17" customFormat="1" ht="14.25" customHeight="1" x14ac:dyDescent="0.25">
      <c r="A39" s="5" t="s">
        <v>601</v>
      </c>
      <c r="B39" s="64" t="s">
        <v>1016</v>
      </c>
      <c r="C39" s="65"/>
      <c r="D39" s="65"/>
      <c r="E39" s="66"/>
      <c r="F39" s="66"/>
      <c r="G39" s="66"/>
      <c r="H39" s="66"/>
      <c r="I39" s="66"/>
      <c r="J39" s="66"/>
      <c r="K39" s="66"/>
      <c r="L39" s="66">
        <v>1</v>
      </c>
      <c r="M39" s="51">
        <f>SUM(L39:L39)</f>
        <v>1</v>
      </c>
      <c r="N39" s="66"/>
      <c r="O39" s="66"/>
      <c r="P39" s="51">
        <f>L39</f>
        <v>1</v>
      </c>
      <c r="Q39" s="51"/>
      <c r="R39" s="51">
        <f t="shared" si="6"/>
        <v>1</v>
      </c>
      <c r="S39" s="51"/>
      <c r="T39" s="51"/>
      <c r="U39" s="51">
        <f t="shared" si="7"/>
        <v>1</v>
      </c>
      <c r="V39" s="66"/>
      <c r="W39" s="51">
        <f t="shared" si="8"/>
        <v>1</v>
      </c>
    </row>
    <row r="40" spans="1:26" s="17" customFormat="1" ht="14.25" customHeight="1" x14ac:dyDescent="0.25">
      <c r="A40" s="5" t="s">
        <v>602</v>
      </c>
      <c r="B40" s="49" t="s">
        <v>720</v>
      </c>
      <c r="C40" s="50"/>
      <c r="D40" s="50"/>
      <c r="E40" s="67"/>
      <c r="F40" s="67"/>
      <c r="G40" s="67"/>
      <c r="H40" s="67"/>
      <c r="I40" s="51"/>
      <c r="J40" s="51"/>
      <c r="K40" s="51"/>
      <c r="L40" s="51">
        <f>SUM(L28:L39)</f>
        <v>64</v>
      </c>
      <c r="M40" s="51">
        <f>SUM(M28:M39)</f>
        <v>64</v>
      </c>
      <c r="N40" s="51">
        <f>SUM(N28:N38)</f>
        <v>1</v>
      </c>
      <c r="O40" s="51">
        <f>SUM(O28:O38)</f>
        <v>1</v>
      </c>
      <c r="P40" s="51">
        <f>SUM(P28:P39)</f>
        <v>64</v>
      </c>
      <c r="Q40" s="51"/>
      <c r="R40" s="51">
        <f t="shared" si="6"/>
        <v>64</v>
      </c>
      <c r="S40" s="51">
        <f>N40+J40+F40</f>
        <v>1</v>
      </c>
      <c r="T40" s="51">
        <f>G40+K40+O40</f>
        <v>1</v>
      </c>
      <c r="U40" s="276">
        <f t="shared" si="7"/>
        <v>64.5</v>
      </c>
      <c r="V40" s="51">
        <v>0</v>
      </c>
      <c r="W40" s="51">
        <f t="shared" si="8"/>
        <v>64.5</v>
      </c>
    </row>
    <row r="41" spans="1:26" ht="12.75" hidden="1" customHeight="1" x14ac:dyDescent="0.25">
      <c r="A41" s="5" t="s">
        <v>603</v>
      </c>
      <c r="B41" s="68"/>
      <c r="C41" s="69"/>
      <c r="D41" s="69"/>
      <c r="E41" s="70"/>
      <c r="F41" s="70"/>
      <c r="G41" s="70"/>
      <c r="H41" s="70"/>
      <c r="I41" s="71"/>
      <c r="J41" s="71"/>
      <c r="K41" s="71"/>
      <c r="L41" s="71"/>
      <c r="M41" s="51">
        <f>L41</f>
        <v>0</v>
      </c>
      <c r="N41" s="71">
        <f>SUM(N28:N40)</f>
        <v>2</v>
      </c>
      <c r="O41" s="71"/>
      <c r="P41" s="71"/>
      <c r="Q41" s="71"/>
      <c r="R41" s="71"/>
      <c r="S41" s="57"/>
      <c r="T41" s="57"/>
      <c r="U41" s="57"/>
      <c r="V41" s="57"/>
      <c r="W41" s="607"/>
      <c r="X41" s="529"/>
    </row>
    <row r="42" spans="1:26" s="32" customFormat="1" ht="14.25" hidden="1" customHeight="1" x14ac:dyDescent="0.25">
      <c r="A42" s="5" t="s">
        <v>604</v>
      </c>
      <c r="B42" s="59"/>
      <c r="C42" s="73"/>
      <c r="D42" s="73"/>
      <c r="E42" s="57"/>
      <c r="F42" s="57"/>
      <c r="G42" s="57"/>
      <c r="H42" s="57"/>
      <c r="I42" s="74"/>
      <c r="J42" s="74"/>
      <c r="K42" s="74"/>
      <c r="L42" s="74"/>
      <c r="M42" s="57"/>
      <c r="N42" s="57"/>
      <c r="O42" s="57"/>
      <c r="P42" s="57"/>
      <c r="Q42" s="57"/>
      <c r="R42" s="74"/>
      <c r="S42" s="74"/>
      <c r="T42" s="57"/>
      <c r="U42" s="57"/>
      <c r="V42" s="57"/>
      <c r="W42" s="57"/>
    </row>
    <row r="43" spans="1:26" s="32" customFormat="1" ht="14.45" hidden="1" customHeight="1" x14ac:dyDescent="0.25">
      <c r="A43" s="5" t="s">
        <v>605</v>
      </c>
      <c r="B43" s="75"/>
      <c r="C43" s="76"/>
      <c r="D43" s="76"/>
      <c r="E43" s="51"/>
      <c r="F43" s="51"/>
      <c r="G43" s="51"/>
      <c r="H43" s="51"/>
      <c r="I43" s="66"/>
      <c r="J43" s="66"/>
      <c r="K43" s="66"/>
      <c r="L43" s="66"/>
      <c r="M43" s="51"/>
      <c r="N43" s="51"/>
      <c r="O43" s="51"/>
      <c r="P43" s="51"/>
      <c r="Q43" s="51"/>
      <c r="R43" s="66"/>
      <c r="S43" s="66"/>
      <c r="T43" s="51"/>
      <c r="U43" s="51"/>
      <c r="V43" s="51"/>
      <c r="W43" s="51"/>
    </row>
    <row r="44" spans="1:26" s="32" customFormat="1" ht="14.25" hidden="1" customHeight="1" x14ac:dyDescent="0.25">
      <c r="A44" s="5" t="s">
        <v>606</v>
      </c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51"/>
      <c r="U44" s="51"/>
      <c r="V44" s="51"/>
      <c r="W44" s="51"/>
    </row>
    <row r="45" spans="1:26" s="32" customFormat="1" ht="14.25" hidden="1" customHeight="1" x14ac:dyDescent="0.25">
      <c r="A45" s="5" t="s">
        <v>607</v>
      </c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51"/>
      <c r="U45" s="51"/>
      <c r="V45" s="51"/>
      <c r="W45" s="51"/>
    </row>
    <row r="46" spans="1:26" s="32" customFormat="1" ht="14.25" hidden="1" customHeight="1" x14ac:dyDescent="0.25">
      <c r="A46" s="5" t="s">
        <v>608</v>
      </c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51"/>
      <c r="U46" s="51"/>
      <c r="V46" s="51"/>
      <c r="W46" s="51"/>
    </row>
    <row r="47" spans="1:26" s="32" customFormat="1" ht="14.25" hidden="1" customHeight="1" x14ac:dyDescent="0.25">
      <c r="A47" s="5" t="s">
        <v>609</v>
      </c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51"/>
      <c r="U47" s="51"/>
      <c r="V47" s="51"/>
      <c r="W47" s="51"/>
    </row>
    <row r="48" spans="1:26" s="32" customFormat="1" ht="14.25" hidden="1" customHeight="1" x14ac:dyDescent="0.25">
      <c r="A48" s="5" t="s">
        <v>664</v>
      </c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51"/>
      <c r="U48" s="51"/>
      <c r="V48" s="51"/>
      <c r="W48" s="51"/>
    </row>
    <row r="49" spans="1:23" s="32" customFormat="1" ht="14.25" hidden="1" customHeight="1" x14ac:dyDescent="0.25">
      <c r="A49" s="5" t="s">
        <v>665</v>
      </c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51"/>
      <c r="U49" s="51"/>
      <c r="V49" s="51"/>
      <c r="W49" s="51"/>
    </row>
    <row r="50" spans="1:23" s="32" customFormat="1" ht="14.25" hidden="1" customHeight="1" x14ac:dyDescent="0.25">
      <c r="A50" s="5" t="s">
        <v>666</v>
      </c>
      <c r="B50" s="64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51"/>
      <c r="V50" s="66"/>
      <c r="W50" s="51"/>
    </row>
    <row r="51" spans="1:23" s="32" customFormat="1" ht="14.25" hidden="1" customHeight="1" x14ac:dyDescent="0.25">
      <c r="A51" s="5" t="s">
        <v>667</v>
      </c>
      <c r="B51" s="64"/>
      <c r="C51" s="65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51"/>
      <c r="V51" s="66"/>
      <c r="W51" s="51"/>
    </row>
    <row r="52" spans="1:23" s="32" customFormat="1" ht="14.25" hidden="1" customHeight="1" x14ac:dyDescent="0.25">
      <c r="A52" s="5" t="s">
        <v>125</v>
      </c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51"/>
      <c r="V52" s="66"/>
      <c r="W52" s="51"/>
    </row>
    <row r="53" spans="1:23" s="32" customFormat="1" ht="14.25" hidden="1" customHeight="1" x14ac:dyDescent="0.25">
      <c r="A53" s="5" t="s">
        <v>693</v>
      </c>
      <c r="B53" s="77"/>
      <c r="C53" s="76"/>
      <c r="D53" s="7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51"/>
      <c r="U53" s="51"/>
      <c r="V53" s="51"/>
      <c r="W53" s="51"/>
    </row>
    <row r="54" spans="1:23" s="32" customFormat="1" ht="14.25" hidden="1" customHeight="1" x14ac:dyDescent="0.25">
      <c r="A54" s="5" t="s">
        <v>694</v>
      </c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51"/>
      <c r="U54" s="51"/>
      <c r="V54" s="51"/>
      <c r="W54" s="51"/>
    </row>
    <row r="55" spans="1:23" s="32" customFormat="1" ht="14.25" hidden="1" customHeight="1" x14ac:dyDescent="0.25">
      <c r="A55" s="5" t="s">
        <v>128</v>
      </c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51"/>
      <c r="U55" s="51"/>
      <c r="V55" s="51"/>
      <c r="W55" s="51"/>
    </row>
    <row r="56" spans="1:23" s="32" customFormat="1" ht="14.25" hidden="1" customHeight="1" x14ac:dyDescent="0.25">
      <c r="A56" s="5" t="s">
        <v>129</v>
      </c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51"/>
      <c r="U56" s="51"/>
      <c r="V56" s="51"/>
      <c r="W56" s="51"/>
    </row>
    <row r="57" spans="1:23" s="32" customFormat="1" ht="14.25" hidden="1" customHeight="1" x14ac:dyDescent="0.25">
      <c r="A57" s="5" t="s">
        <v>130</v>
      </c>
      <c r="B57" s="77"/>
      <c r="C57" s="76"/>
      <c r="D57" s="7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51"/>
      <c r="U57" s="51"/>
      <c r="V57" s="51"/>
      <c r="W57" s="51"/>
    </row>
    <row r="58" spans="1:23" s="32" customFormat="1" ht="14.25" hidden="1" customHeight="1" x14ac:dyDescent="0.25">
      <c r="A58" s="5" t="s">
        <v>133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51"/>
      <c r="U58" s="51"/>
      <c r="V58" s="51"/>
      <c r="W58" s="51"/>
    </row>
    <row r="59" spans="1:23" s="32" customFormat="1" ht="14.25" hidden="1" customHeight="1" x14ac:dyDescent="0.25">
      <c r="A59" s="5" t="s">
        <v>136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51"/>
      <c r="U59" s="51"/>
      <c r="V59" s="51"/>
      <c r="W59" s="51"/>
    </row>
    <row r="60" spans="1:23" s="32" customFormat="1" ht="14.45" hidden="1" customHeight="1" x14ac:dyDescent="0.25">
      <c r="A60" s="5" t="s">
        <v>137</v>
      </c>
      <c r="B60" s="77"/>
      <c r="C60" s="76"/>
      <c r="D60" s="7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51"/>
      <c r="U60" s="51"/>
      <c r="V60" s="51"/>
      <c r="W60" s="51"/>
    </row>
    <row r="61" spans="1:23" s="32" customFormat="1" ht="14.45" hidden="1" customHeight="1" x14ac:dyDescent="0.25">
      <c r="A61" s="5" t="s">
        <v>138</v>
      </c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51"/>
      <c r="U61" s="51"/>
      <c r="V61" s="51"/>
      <c r="W61" s="51"/>
    </row>
    <row r="62" spans="1:23" s="32" customFormat="1" ht="14.45" hidden="1" customHeight="1" x14ac:dyDescent="0.25">
      <c r="A62" s="5" t="s">
        <v>139</v>
      </c>
      <c r="B62" s="64"/>
      <c r="C62" s="65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51"/>
      <c r="U62" s="51"/>
      <c r="V62" s="51"/>
      <c r="W62" s="51"/>
    </row>
    <row r="63" spans="1:23" s="32" customFormat="1" ht="14.45" hidden="1" customHeight="1" x14ac:dyDescent="0.25">
      <c r="A63" s="5" t="s">
        <v>142</v>
      </c>
      <c r="B63" s="64"/>
      <c r="C63" s="65"/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51"/>
      <c r="U63" s="51"/>
      <c r="V63" s="51"/>
      <c r="W63" s="51"/>
    </row>
    <row r="64" spans="1:23" s="32" customFormat="1" ht="14.45" hidden="1" customHeight="1" x14ac:dyDescent="0.25">
      <c r="A64" s="5" t="s">
        <v>145</v>
      </c>
      <c r="B64" s="49"/>
      <c r="C64" s="50"/>
      <c r="D64" s="50"/>
      <c r="E64" s="67"/>
      <c r="F64" s="67"/>
      <c r="G64" s="67"/>
      <c r="H64" s="67"/>
      <c r="I64" s="66"/>
      <c r="J64" s="66"/>
      <c r="K64" s="66"/>
      <c r="L64" s="51"/>
      <c r="M64" s="51"/>
      <c r="N64" s="51"/>
      <c r="O64" s="51"/>
      <c r="P64" s="51"/>
      <c r="Q64" s="51"/>
      <c r="R64" s="51"/>
      <c r="S64" s="51"/>
      <c r="T64" s="51"/>
      <c r="U64" s="52"/>
      <c r="V64" s="51"/>
      <c r="W64" s="51"/>
    </row>
    <row r="65" spans="1:23" s="32" customFormat="1" ht="14.45" customHeight="1" x14ac:dyDescent="0.25">
      <c r="A65" s="5"/>
      <c r="B65" s="666"/>
      <c r="C65" s="667"/>
      <c r="D65" s="667"/>
      <c r="E65" s="133"/>
      <c r="F65" s="133"/>
      <c r="G65" s="133"/>
      <c r="H65" s="133"/>
      <c r="I65" s="668"/>
      <c r="J65" s="668"/>
      <c r="K65" s="668"/>
      <c r="L65" s="134"/>
      <c r="M65" s="134"/>
      <c r="N65" s="134"/>
      <c r="O65" s="134"/>
      <c r="P65" s="134"/>
      <c r="Q65" s="134"/>
      <c r="R65" s="134"/>
      <c r="S65" s="134"/>
      <c r="T65" s="134"/>
      <c r="U65" s="669"/>
      <c r="V65" s="134"/>
      <c r="W65" s="134"/>
    </row>
    <row r="66" spans="1:23" s="32" customFormat="1" ht="14.45" customHeight="1" x14ac:dyDescent="0.25">
      <c r="A66" s="5"/>
      <c r="B66" s="79"/>
      <c r="C66" s="73"/>
      <c r="D66" s="73"/>
      <c r="E66" s="56"/>
      <c r="F66" s="56"/>
      <c r="G66" s="56"/>
      <c r="H66" s="56"/>
      <c r="I66" s="74"/>
      <c r="J66" s="74"/>
      <c r="K66" s="74"/>
      <c r="L66" s="57"/>
      <c r="M66" s="57"/>
      <c r="N66" s="57"/>
      <c r="O66" s="57"/>
      <c r="P66" s="57"/>
      <c r="Q66" s="57"/>
      <c r="R66" s="57"/>
      <c r="S66" s="57"/>
      <c r="T66" s="57"/>
      <c r="U66" s="279"/>
      <c r="V66" s="57"/>
      <c r="W66" s="57"/>
    </row>
    <row r="67" spans="1:23" s="32" customFormat="1" ht="14.45" customHeight="1" x14ac:dyDescent="0.25">
      <c r="A67" s="5"/>
      <c r="B67" s="79"/>
      <c r="C67" s="73"/>
      <c r="D67" s="73"/>
      <c r="E67" s="56"/>
      <c r="F67" s="56"/>
      <c r="G67" s="56"/>
      <c r="H67" s="56"/>
      <c r="I67" s="74"/>
      <c r="J67" s="74"/>
      <c r="K67" s="74"/>
      <c r="L67" s="57"/>
      <c r="M67" s="57"/>
      <c r="N67" s="57"/>
      <c r="O67" s="57"/>
      <c r="P67" s="57"/>
      <c r="Q67" s="57"/>
      <c r="R67" s="57"/>
      <c r="S67" s="57"/>
      <c r="T67" s="57"/>
      <c r="U67" s="279"/>
      <c r="V67" s="57"/>
      <c r="W67" s="57"/>
    </row>
    <row r="68" spans="1:23" s="32" customFormat="1" ht="14.45" customHeight="1" x14ac:dyDescent="0.25">
      <c r="A68" s="5" t="s">
        <v>603</v>
      </c>
      <c r="B68" s="34" t="s">
        <v>736</v>
      </c>
      <c r="C68" s="73"/>
      <c r="D68" s="73"/>
      <c r="E68" s="56"/>
      <c r="F68" s="56"/>
      <c r="G68" s="56"/>
      <c r="H68" s="56"/>
      <c r="I68" s="74"/>
      <c r="J68" s="74"/>
      <c r="K68" s="74"/>
      <c r="L68" s="57"/>
      <c r="M68" s="57"/>
      <c r="N68" s="57"/>
      <c r="O68" s="57"/>
      <c r="P68" s="57"/>
      <c r="Q68" s="57"/>
      <c r="R68" s="57"/>
      <c r="S68" s="57"/>
      <c r="T68" s="57"/>
      <c r="U68" s="279"/>
      <c r="V68" s="57"/>
      <c r="W68" s="57"/>
    </row>
    <row r="69" spans="1:23" s="32" customFormat="1" ht="14.45" customHeight="1" x14ac:dyDescent="0.25">
      <c r="A69" s="5" t="s">
        <v>604</v>
      </c>
      <c r="B69" s="671" t="s">
        <v>737</v>
      </c>
      <c r="C69" s="281"/>
      <c r="D69" s="281"/>
      <c r="E69" s="282"/>
      <c r="F69" s="282"/>
      <c r="G69" s="282"/>
      <c r="H69" s="282"/>
      <c r="I69" s="283"/>
      <c r="J69" s="283"/>
      <c r="K69" s="283"/>
      <c r="L69" s="284"/>
      <c r="M69" s="284"/>
      <c r="N69" s="284"/>
      <c r="O69" s="284"/>
      <c r="P69" s="284"/>
      <c r="Q69" s="284"/>
      <c r="R69" s="284"/>
      <c r="S69" s="284"/>
      <c r="T69" s="284"/>
      <c r="U69" s="670"/>
      <c r="V69" s="670"/>
      <c r="W69" s="670"/>
    </row>
    <row r="70" spans="1:23" s="32" customFormat="1" ht="14.45" customHeight="1" x14ac:dyDescent="0.25">
      <c r="A70" s="5" t="s">
        <v>605</v>
      </c>
      <c r="B70" s="665" t="s">
        <v>738</v>
      </c>
      <c r="C70" s="281"/>
      <c r="D70" s="281"/>
      <c r="E70" s="282"/>
      <c r="F70" s="282"/>
      <c r="G70" s="282"/>
      <c r="H70" s="282"/>
      <c r="I70" s="283"/>
      <c r="J70" s="283"/>
      <c r="K70" s="283"/>
      <c r="L70" s="284">
        <v>1</v>
      </c>
      <c r="M70" s="284">
        <f t="shared" ref="M70:M78" si="9">L70</f>
        <v>1</v>
      </c>
      <c r="N70" s="284"/>
      <c r="O70" s="284"/>
      <c r="P70" s="284">
        <v>1</v>
      </c>
      <c r="Q70" s="284"/>
      <c r="R70" s="284">
        <f t="shared" ref="R70:R78" si="10">E70+I70+M70</f>
        <v>1</v>
      </c>
      <c r="S70" s="284"/>
      <c r="T70" s="284"/>
      <c r="U70" s="670">
        <f t="shared" ref="U70:U78" si="11">P70+S70/2</f>
        <v>1</v>
      </c>
      <c r="V70" s="670"/>
      <c r="W70" s="670">
        <f t="shared" ref="W70:W78" si="12">R70+T70/2</f>
        <v>1</v>
      </c>
    </row>
    <row r="71" spans="1:23" s="32" customFormat="1" ht="14.45" customHeight="1" x14ac:dyDescent="0.25">
      <c r="A71" s="5" t="s">
        <v>606</v>
      </c>
      <c r="B71" s="665" t="s">
        <v>739</v>
      </c>
      <c r="C71" s="281"/>
      <c r="D71" s="281"/>
      <c r="E71" s="282"/>
      <c r="F71" s="282"/>
      <c r="G71" s="282"/>
      <c r="H71" s="282"/>
      <c r="I71" s="283"/>
      <c r="J71" s="283"/>
      <c r="K71" s="283"/>
      <c r="L71" s="284">
        <v>1</v>
      </c>
      <c r="M71" s="284">
        <f t="shared" si="9"/>
        <v>1</v>
      </c>
      <c r="N71" s="284"/>
      <c r="O71" s="284"/>
      <c r="P71" s="284">
        <v>1</v>
      </c>
      <c r="Q71" s="284"/>
      <c r="R71" s="284">
        <f t="shared" si="10"/>
        <v>1</v>
      </c>
      <c r="S71" s="284"/>
      <c r="T71" s="284"/>
      <c r="U71" s="670">
        <f t="shared" si="11"/>
        <v>1</v>
      </c>
      <c r="V71" s="670"/>
      <c r="W71" s="670">
        <f t="shared" si="12"/>
        <v>1</v>
      </c>
    </row>
    <row r="72" spans="1:23" s="32" customFormat="1" ht="14.45" customHeight="1" x14ac:dyDescent="0.25">
      <c r="A72" s="5" t="s">
        <v>607</v>
      </c>
      <c r="B72" s="665" t="s">
        <v>740</v>
      </c>
      <c r="C72" s="281"/>
      <c r="D72" s="281"/>
      <c r="E72" s="282"/>
      <c r="F72" s="282"/>
      <c r="G72" s="282"/>
      <c r="H72" s="282"/>
      <c r="I72" s="283"/>
      <c r="J72" s="283"/>
      <c r="K72" s="283"/>
      <c r="L72" s="284">
        <v>2</v>
      </c>
      <c r="M72" s="284">
        <f t="shared" si="9"/>
        <v>2</v>
      </c>
      <c r="N72" s="284"/>
      <c r="O72" s="284"/>
      <c r="P72" s="284">
        <v>2</v>
      </c>
      <c r="Q72" s="284"/>
      <c r="R72" s="284">
        <f t="shared" si="10"/>
        <v>2</v>
      </c>
      <c r="S72" s="284"/>
      <c r="T72" s="284"/>
      <c r="U72" s="670">
        <f t="shared" si="11"/>
        <v>2</v>
      </c>
      <c r="V72" s="670"/>
      <c r="W72" s="670">
        <f t="shared" si="12"/>
        <v>2</v>
      </c>
    </row>
    <row r="73" spans="1:23" s="32" customFormat="1" ht="14.45" customHeight="1" x14ac:dyDescent="0.25">
      <c r="A73" s="5" t="s">
        <v>608</v>
      </c>
      <c r="B73" s="665" t="s">
        <v>741</v>
      </c>
      <c r="C73" s="281"/>
      <c r="D73" s="281"/>
      <c r="E73" s="282"/>
      <c r="F73" s="282"/>
      <c r="G73" s="282"/>
      <c r="H73" s="282"/>
      <c r="I73" s="283"/>
      <c r="J73" s="283"/>
      <c r="K73" s="283"/>
      <c r="L73" s="284">
        <v>1</v>
      </c>
      <c r="M73" s="284">
        <f t="shared" si="9"/>
        <v>1</v>
      </c>
      <c r="N73" s="284"/>
      <c r="O73" s="284"/>
      <c r="P73" s="284">
        <v>1</v>
      </c>
      <c r="Q73" s="284"/>
      <c r="R73" s="284">
        <f t="shared" si="10"/>
        <v>1</v>
      </c>
      <c r="S73" s="284"/>
      <c r="T73" s="284"/>
      <c r="U73" s="670">
        <f t="shared" si="11"/>
        <v>1</v>
      </c>
      <c r="V73" s="670"/>
      <c r="W73" s="670">
        <f t="shared" si="12"/>
        <v>1</v>
      </c>
    </row>
    <row r="74" spans="1:23" s="32" customFormat="1" ht="14.45" customHeight="1" x14ac:dyDescent="0.25">
      <c r="A74" s="5" t="s">
        <v>609</v>
      </c>
      <c r="B74" s="665" t="s">
        <v>742</v>
      </c>
      <c r="C74" s="281"/>
      <c r="D74" s="281"/>
      <c r="E74" s="282"/>
      <c r="F74" s="282"/>
      <c r="G74" s="282"/>
      <c r="H74" s="282"/>
      <c r="I74" s="283"/>
      <c r="J74" s="283"/>
      <c r="K74" s="283"/>
      <c r="L74" s="284">
        <v>1</v>
      </c>
      <c r="M74" s="284">
        <f t="shared" si="9"/>
        <v>1</v>
      </c>
      <c r="N74" s="284"/>
      <c r="O74" s="284"/>
      <c r="P74" s="284">
        <v>1</v>
      </c>
      <c r="Q74" s="284"/>
      <c r="R74" s="284">
        <f t="shared" si="10"/>
        <v>1</v>
      </c>
      <c r="S74" s="284"/>
      <c r="T74" s="284"/>
      <c r="U74" s="670">
        <f t="shared" si="11"/>
        <v>1</v>
      </c>
      <c r="V74" s="670"/>
      <c r="W74" s="670">
        <f t="shared" si="12"/>
        <v>1</v>
      </c>
    </row>
    <row r="75" spans="1:23" s="32" customFormat="1" ht="14.45" customHeight="1" x14ac:dyDescent="0.25">
      <c r="A75" s="5" t="s">
        <v>664</v>
      </c>
      <c r="B75" s="665" t="s">
        <v>1160</v>
      </c>
      <c r="C75" s="281"/>
      <c r="D75" s="281"/>
      <c r="E75" s="282"/>
      <c r="F75" s="282"/>
      <c r="G75" s="282"/>
      <c r="H75" s="282"/>
      <c r="I75" s="283"/>
      <c r="J75" s="283"/>
      <c r="K75" s="283"/>
      <c r="L75" s="284">
        <v>1</v>
      </c>
      <c r="M75" s="284">
        <f t="shared" si="9"/>
        <v>1</v>
      </c>
      <c r="N75" s="284"/>
      <c r="O75" s="284"/>
      <c r="P75" s="284">
        <v>1</v>
      </c>
      <c r="Q75" s="284"/>
      <c r="R75" s="284">
        <f t="shared" si="10"/>
        <v>1</v>
      </c>
      <c r="S75" s="284"/>
      <c r="T75" s="284"/>
      <c r="U75" s="670">
        <f t="shared" si="11"/>
        <v>1</v>
      </c>
      <c r="V75" s="670"/>
      <c r="W75" s="670">
        <f t="shared" si="12"/>
        <v>1</v>
      </c>
    </row>
    <row r="76" spans="1:23" s="32" customFormat="1" ht="14.45" customHeight="1" x14ac:dyDescent="0.25">
      <c r="A76" s="5" t="s">
        <v>665</v>
      </c>
      <c r="B76" s="665" t="s">
        <v>1161</v>
      </c>
      <c r="C76" s="281"/>
      <c r="D76" s="281"/>
      <c r="E76" s="282"/>
      <c r="F76" s="282"/>
      <c r="G76" s="282"/>
      <c r="H76" s="282"/>
      <c r="I76" s="283"/>
      <c r="J76" s="283"/>
      <c r="K76" s="283"/>
      <c r="L76" s="284">
        <v>1</v>
      </c>
      <c r="M76" s="284">
        <f t="shared" si="9"/>
        <v>1</v>
      </c>
      <c r="N76" s="284"/>
      <c r="O76" s="284"/>
      <c r="P76" s="284">
        <v>1</v>
      </c>
      <c r="Q76" s="284"/>
      <c r="R76" s="284">
        <f t="shared" si="10"/>
        <v>1</v>
      </c>
      <c r="S76" s="284"/>
      <c r="T76" s="284"/>
      <c r="U76" s="670">
        <f t="shared" si="11"/>
        <v>1</v>
      </c>
      <c r="V76" s="670"/>
      <c r="W76" s="670">
        <f t="shared" si="12"/>
        <v>1</v>
      </c>
    </row>
    <row r="77" spans="1:23" s="32" customFormat="1" ht="14.45" customHeight="1" x14ac:dyDescent="0.25">
      <c r="A77" s="5" t="s">
        <v>666</v>
      </c>
      <c r="B77" s="665" t="s">
        <v>743</v>
      </c>
      <c r="C77" s="281"/>
      <c r="D77" s="281"/>
      <c r="E77" s="282"/>
      <c r="F77" s="282"/>
      <c r="G77" s="282"/>
      <c r="H77" s="282"/>
      <c r="I77" s="283"/>
      <c r="J77" s="283"/>
      <c r="K77" s="283"/>
      <c r="L77" s="284">
        <v>1</v>
      </c>
      <c r="M77" s="284">
        <f t="shared" si="9"/>
        <v>1</v>
      </c>
      <c r="N77" s="284"/>
      <c r="O77" s="284"/>
      <c r="P77" s="284">
        <v>1</v>
      </c>
      <c r="Q77" s="284"/>
      <c r="R77" s="284">
        <f t="shared" si="10"/>
        <v>1</v>
      </c>
      <c r="S77" s="284"/>
      <c r="T77" s="284"/>
      <c r="U77" s="670">
        <f t="shared" si="11"/>
        <v>1</v>
      </c>
      <c r="V77" s="670"/>
      <c r="W77" s="670">
        <f t="shared" si="12"/>
        <v>1</v>
      </c>
    </row>
    <row r="78" spans="1:23" s="32" customFormat="1" ht="14.45" customHeight="1" x14ac:dyDescent="0.25">
      <c r="A78" s="5" t="s">
        <v>667</v>
      </c>
      <c r="B78" s="665" t="s">
        <v>744</v>
      </c>
      <c r="C78" s="281"/>
      <c r="D78" s="281"/>
      <c r="E78" s="282"/>
      <c r="F78" s="282"/>
      <c r="G78" s="282"/>
      <c r="H78" s="282"/>
      <c r="I78" s="283"/>
      <c r="J78" s="283"/>
      <c r="K78" s="283"/>
      <c r="L78" s="284">
        <v>1</v>
      </c>
      <c r="M78" s="284">
        <f t="shared" si="9"/>
        <v>1</v>
      </c>
      <c r="N78" s="284"/>
      <c r="O78" s="284"/>
      <c r="P78" s="284">
        <v>1</v>
      </c>
      <c r="Q78" s="284"/>
      <c r="R78" s="284">
        <f t="shared" si="10"/>
        <v>1</v>
      </c>
      <c r="S78" s="284"/>
      <c r="T78" s="284"/>
      <c r="U78" s="670">
        <f t="shared" si="11"/>
        <v>1</v>
      </c>
      <c r="V78" s="670"/>
      <c r="W78" s="670">
        <f t="shared" si="12"/>
        <v>1</v>
      </c>
    </row>
    <row r="79" spans="1:23" s="32" customFormat="1" ht="14.45" customHeight="1" x14ac:dyDescent="0.25">
      <c r="A79" s="5" t="s">
        <v>125</v>
      </c>
      <c r="B79" s="671" t="s">
        <v>745</v>
      </c>
      <c r="C79" s="281"/>
      <c r="D79" s="281"/>
      <c r="E79" s="282"/>
      <c r="F79" s="282"/>
      <c r="G79" s="282"/>
      <c r="H79" s="282"/>
      <c r="I79" s="283"/>
      <c r="J79" s="283"/>
      <c r="K79" s="283"/>
      <c r="L79" s="284"/>
      <c r="M79" s="284"/>
      <c r="N79" s="284"/>
      <c r="O79" s="284"/>
      <c r="P79" s="284"/>
      <c r="Q79" s="284"/>
      <c r="R79" s="284"/>
      <c r="S79" s="284"/>
      <c r="T79" s="284"/>
      <c r="U79" s="670"/>
      <c r="V79" s="670"/>
      <c r="W79" s="670"/>
    </row>
    <row r="80" spans="1:23" s="32" customFormat="1" ht="14.45" customHeight="1" x14ac:dyDescent="0.25">
      <c r="A80" s="5" t="s">
        <v>693</v>
      </c>
      <c r="B80" s="665" t="s">
        <v>746</v>
      </c>
      <c r="C80" s="281"/>
      <c r="D80" s="281"/>
      <c r="E80" s="282"/>
      <c r="F80" s="282"/>
      <c r="G80" s="282"/>
      <c r="H80" s="282"/>
      <c r="I80" s="283"/>
      <c r="J80" s="283"/>
      <c r="K80" s="283"/>
      <c r="L80" s="284">
        <v>1</v>
      </c>
      <c r="M80" s="284">
        <f t="shared" ref="M80:M87" si="13">L80</f>
        <v>1</v>
      </c>
      <c r="N80" s="284"/>
      <c r="O80" s="284"/>
      <c r="P80" s="284">
        <v>1</v>
      </c>
      <c r="Q80" s="284"/>
      <c r="R80" s="284">
        <f t="shared" ref="R80:R87" si="14">E80+I80+M80</f>
        <v>1</v>
      </c>
      <c r="S80" s="284"/>
      <c r="T80" s="284"/>
      <c r="U80" s="670">
        <f t="shared" ref="U80:U87" si="15">P80+S80/2</f>
        <v>1</v>
      </c>
      <c r="V80" s="670"/>
      <c r="W80" s="670">
        <f t="shared" ref="W80:W87" si="16">R80+T80/2</f>
        <v>1</v>
      </c>
    </row>
    <row r="81" spans="1:23" s="32" customFormat="1" ht="14.45" customHeight="1" x14ac:dyDescent="0.25">
      <c r="A81" s="5" t="s">
        <v>694</v>
      </c>
      <c r="B81" s="665" t="s">
        <v>747</v>
      </c>
      <c r="C81" s="281"/>
      <c r="D81" s="281"/>
      <c r="E81" s="282"/>
      <c r="F81" s="282"/>
      <c r="G81" s="282"/>
      <c r="H81" s="282"/>
      <c r="I81" s="283"/>
      <c r="J81" s="283"/>
      <c r="K81" s="283"/>
      <c r="L81" s="284">
        <v>1</v>
      </c>
      <c r="M81" s="284">
        <f t="shared" si="13"/>
        <v>1</v>
      </c>
      <c r="N81" s="284"/>
      <c r="O81" s="284"/>
      <c r="P81" s="284">
        <v>1</v>
      </c>
      <c r="Q81" s="284"/>
      <c r="R81" s="284">
        <f t="shared" si="14"/>
        <v>1</v>
      </c>
      <c r="S81" s="284"/>
      <c r="T81" s="284"/>
      <c r="U81" s="670">
        <f t="shared" si="15"/>
        <v>1</v>
      </c>
      <c r="V81" s="670"/>
      <c r="W81" s="670">
        <f t="shared" si="16"/>
        <v>1</v>
      </c>
    </row>
    <row r="82" spans="1:23" s="32" customFormat="1" ht="14.45" customHeight="1" x14ac:dyDescent="0.25">
      <c r="A82" s="5" t="s">
        <v>128</v>
      </c>
      <c r="B82" s="665" t="s">
        <v>748</v>
      </c>
      <c r="C82" s="281"/>
      <c r="D82" s="281"/>
      <c r="E82" s="282"/>
      <c r="F82" s="282"/>
      <c r="G82" s="282"/>
      <c r="H82" s="282"/>
      <c r="I82" s="283"/>
      <c r="J82" s="283"/>
      <c r="K82" s="283"/>
      <c r="L82" s="284">
        <v>1</v>
      </c>
      <c r="M82" s="284">
        <f t="shared" si="13"/>
        <v>1</v>
      </c>
      <c r="N82" s="284"/>
      <c r="O82" s="284"/>
      <c r="P82" s="284">
        <v>1</v>
      </c>
      <c r="Q82" s="284"/>
      <c r="R82" s="284">
        <f t="shared" si="14"/>
        <v>1</v>
      </c>
      <c r="S82" s="284"/>
      <c r="T82" s="284"/>
      <c r="U82" s="670">
        <f t="shared" si="15"/>
        <v>1</v>
      </c>
      <c r="V82" s="670"/>
      <c r="W82" s="670">
        <f t="shared" si="16"/>
        <v>1</v>
      </c>
    </row>
    <row r="83" spans="1:23" s="32" customFormat="1" ht="14.45" customHeight="1" x14ac:dyDescent="0.25">
      <c r="A83" s="5" t="s">
        <v>129</v>
      </c>
      <c r="B83" s="671" t="s">
        <v>749</v>
      </c>
      <c r="C83" s="281"/>
      <c r="D83" s="281"/>
      <c r="E83" s="282"/>
      <c r="F83" s="282"/>
      <c r="G83" s="282"/>
      <c r="H83" s="282"/>
      <c r="I83" s="283"/>
      <c r="J83" s="283"/>
      <c r="K83" s="283"/>
      <c r="L83" s="284"/>
      <c r="M83" s="284">
        <f t="shared" si="13"/>
        <v>0</v>
      </c>
      <c r="N83" s="284"/>
      <c r="O83" s="284"/>
      <c r="P83" s="284"/>
      <c r="Q83" s="284"/>
      <c r="R83" s="284">
        <f t="shared" si="14"/>
        <v>0</v>
      </c>
      <c r="S83" s="284"/>
      <c r="T83" s="284"/>
      <c r="U83" s="670">
        <f t="shared" si="15"/>
        <v>0</v>
      </c>
      <c r="V83" s="670"/>
      <c r="W83" s="670">
        <f t="shared" si="16"/>
        <v>0</v>
      </c>
    </row>
    <row r="84" spans="1:23" s="32" customFormat="1" ht="14.45" customHeight="1" x14ac:dyDescent="0.25">
      <c r="A84" s="5" t="s">
        <v>130</v>
      </c>
      <c r="B84" s="665" t="s">
        <v>750</v>
      </c>
      <c r="C84" s="281"/>
      <c r="D84" s="281"/>
      <c r="E84" s="282"/>
      <c r="F84" s="282"/>
      <c r="G84" s="282"/>
      <c r="H84" s="282"/>
      <c r="I84" s="283"/>
      <c r="J84" s="283"/>
      <c r="K84" s="283"/>
      <c r="L84" s="284">
        <v>1</v>
      </c>
      <c r="M84" s="284">
        <f t="shared" si="13"/>
        <v>1</v>
      </c>
      <c r="N84" s="284"/>
      <c r="O84" s="284"/>
      <c r="P84" s="284">
        <v>1</v>
      </c>
      <c r="Q84" s="284"/>
      <c r="R84" s="284">
        <f t="shared" si="14"/>
        <v>1</v>
      </c>
      <c r="S84" s="284"/>
      <c r="T84" s="284"/>
      <c r="U84" s="670">
        <f t="shared" si="15"/>
        <v>1</v>
      </c>
      <c r="V84" s="670"/>
      <c r="W84" s="670">
        <f t="shared" si="16"/>
        <v>1</v>
      </c>
    </row>
    <row r="85" spans="1:23" s="32" customFormat="1" ht="14.45" customHeight="1" x14ac:dyDescent="0.25">
      <c r="A85" s="5" t="s">
        <v>133</v>
      </c>
      <c r="B85" s="665" t="s">
        <v>751</v>
      </c>
      <c r="C85" s="281"/>
      <c r="D85" s="281"/>
      <c r="E85" s="282"/>
      <c r="F85" s="282"/>
      <c r="G85" s="282"/>
      <c r="H85" s="282"/>
      <c r="I85" s="283"/>
      <c r="J85" s="283"/>
      <c r="K85" s="283"/>
      <c r="L85" s="284">
        <v>1</v>
      </c>
      <c r="M85" s="284">
        <f t="shared" si="13"/>
        <v>1</v>
      </c>
      <c r="N85" s="284"/>
      <c r="O85" s="284"/>
      <c r="P85" s="284">
        <v>1</v>
      </c>
      <c r="Q85" s="284"/>
      <c r="R85" s="284">
        <f t="shared" si="14"/>
        <v>1</v>
      </c>
      <c r="S85" s="284"/>
      <c r="T85" s="284"/>
      <c r="U85" s="670">
        <f t="shared" si="15"/>
        <v>1</v>
      </c>
      <c r="V85" s="670"/>
      <c r="W85" s="670">
        <f t="shared" si="16"/>
        <v>1</v>
      </c>
    </row>
    <row r="86" spans="1:23" s="32" customFormat="1" ht="14.45" customHeight="1" x14ac:dyDescent="0.25">
      <c r="A86" s="5" t="s">
        <v>136</v>
      </c>
      <c r="B86" s="665" t="s">
        <v>752</v>
      </c>
      <c r="C86" s="281"/>
      <c r="D86" s="281"/>
      <c r="E86" s="282"/>
      <c r="F86" s="282"/>
      <c r="G86" s="282"/>
      <c r="H86" s="282"/>
      <c r="I86" s="283"/>
      <c r="J86" s="283"/>
      <c r="K86" s="283"/>
      <c r="L86" s="284">
        <v>3</v>
      </c>
      <c r="M86" s="284">
        <f t="shared" si="13"/>
        <v>3</v>
      </c>
      <c r="N86" s="284"/>
      <c r="O86" s="284"/>
      <c r="P86" s="284">
        <v>3</v>
      </c>
      <c r="Q86" s="284"/>
      <c r="R86" s="284">
        <f t="shared" si="14"/>
        <v>3</v>
      </c>
      <c r="S86" s="284"/>
      <c r="T86" s="284"/>
      <c r="U86" s="670">
        <f t="shared" si="15"/>
        <v>3</v>
      </c>
      <c r="V86" s="670"/>
      <c r="W86" s="670">
        <f t="shared" si="16"/>
        <v>3</v>
      </c>
    </row>
    <row r="87" spans="1:23" s="32" customFormat="1" ht="14.45" customHeight="1" x14ac:dyDescent="0.25">
      <c r="A87" s="5" t="s">
        <v>137</v>
      </c>
      <c r="B87" s="665" t="s">
        <v>958</v>
      </c>
      <c r="C87" s="281"/>
      <c r="D87" s="281"/>
      <c r="E87" s="282"/>
      <c r="F87" s="282"/>
      <c r="G87" s="282"/>
      <c r="H87" s="282"/>
      <c r="I87" s="283"/>
      <c r="J87" s="283"/>
      <c r="K87" s="283"/>
      <c r="L87" s="284">
        <v>1</v>
      </c>
      <c r="M87" s="284">
        <f t="shared" si="13"/>
        <v>1</v>
      </c>
      <c r="N87" s="284"/>
      <c r="O87" s="284"/>
      <c r="P87" s="284">
        <v>1</v>
      </c>
      <c r="Q87" s="284"/>
      <c r="R87" s="284">
        <f t="shared" si="14"/>
        <v>1</v>
      </c>
      <c r="S87" s="284"/>
      <c r="T87" s="284"/>
      <c r="U87" s="670">
        <f t="shared" si="15"/>
        <v>1</v>
      </c>
      <c r="V87" s="670"/>
      <c r="W87" s="670">
        <f t="shared" si="16"/>
        <v>1</v>
      </c>
    </row>
    <row r="88" spans="1:23" s="32" customFormat="1" ht="14.45" customHeight="1" x14ac:dyDescent="0.25">
      <c r="A88" s="5" t="s">
        <v>138</v>
      </c>
      <c r="B88" s="671" t="s">
        <v>753</v>
      </c>
      <c r="C88" s="281"/>
      <c r="D88" s="281"/>
      <c r="E88" s="282"/>
      <c r="F88" s="282"/>
      <c r="G88" s="282"/>
      <c r="H88" s="282"/>
      <c r="I88" s="283"/>
      <c r="J88" s="283"/>
      <c r="K88" s="283"/>
      <c r="L88" s="284"/>
      <c r="M88" s="284"/>
      <c r="N88" s="284"/>
      <c r="O88" s="284"/>
      <c r="P88" s="284"/>
      <c r="Q88" s="284"/>
      <c r="R88" s="284"/>
      <c r="S88" s="284"/>
      <c r="T88" s="284"/>
      <c r="U88" s="670"/>
      <c r="V88" s="670"/>
      <c r="W88" s="670"/>
    </row>
    <row r="89" spans="1:23" s="32" customFormat="1" ht="14.45" customHeight="1" x14ac:dyDescent="0.25">
      <c r="A89" s="5" t="s">
        <v>139</v>
      </c>
      <c r="B89" s="665" t="s">
        <v>754</v>
      </c>
      <c r="C89" s="281"/>
      <c r="D89" s="281"/>
      <c r="E89" s="282"/>
      <c r="F89" s="282"/>
      <c r="G89" s="282"/>
      <c r="H89" s="282"/>
      <c r="I89" s="283"/>
      <c r="J89" s="283"/>
      <c r="K89" s="283"/>
      <c r="L89" s="284">
        <v>1</v>
      </c>
      <c r="M89" s="284">
        <f>L89</f>
        <v>1</v>
      </c>
      <c r="N89" s="284"/>
      <c r="O89" s="284"/>
      <c r="P89" s="284">
        <v>1</v>
      </c>
      <c r="Q89" s="284"/>
      <c r="R89" s="284">
        <f>E89+I89+M89</f>
        <v>1</v>
      </c>
      <c r="S89" s="284"/>
      <c r="T89" s="284"/>
      <c r="U89" s="670">
        <f>P89+S89/2</f>
        <v>1</v>
      </c>
      <c r="V89" s="670"/>
      <c r="W89" s="670">
        <f>R89+T89/2</f>
        <v>1</v>
      </c>
    </row>
    <row r="90" spans="1:23" s="32" customFormat="1" ht="14.45" customHeight="1" x14ac:dyDescent="0.25">
      <c r="A90" s="5" t="s">
        <v>142</v>
      </c>
      <c r="B90" s="665" t="s">
        <v>755</v>
      </c>
      <c r="C90" s="281"/>
      <c r="D90" s="281"/>
      <c r="E90" s="282"/>
      <c r="F90" s="282"/>
      <c r="G90" s="282"/>
      <c r="H90" s="282"/>
      <c r="I90" s="283"/>
      <c r="J90" s="283"/>
      <c r="K90" s="283"/>
      <c r="L90" s="284">
        <v>2</v>
      </c>
      <c r="M90" s="284">
        <f>L90</f>
        <v>2</v>
      </c>
      <c r="N90" s="284"/>
      <c r="O90" s="284"/>
      <c r="P90" s="284">
        <v>2</v>
      </c>
      <c r="Q90" s="284"/>
      <c r="R90" s="284">
        <f>E90+I90+M90</f>
        <v>2</v>
      </c>
      <c r="S90" s="284"/>
      <c r="T90" s="284"/>
      <c r="U90" s="670">
        <f>P90+S90/2</f>
        <v>2</v>
      </c>
      <c r="V90" s="670"/>
      <c r="W90" s="670">
        <f>R90+T90/2</f>
        <v>2</v>
      </c>
    </row>
    <row r="91" spans="1:23" s="32" customFormat="1" ht="14.45" customHeight="1" x14ac:dyDescent="0.25">
      <c r="A91" s="5" t="s">
        <v>145</v>
      </c>
      <c r="B91" s="665" t="s">
        <v>756</v>
      </c>
      <c r="C91" s="281"/>
      <c r="D91" s="281"/>
      <c r="E91" s="282"/>
      <c r="F91" s="282"/>
      <c r="G91" s="282"/>
      <c r="H91" s="282"/>
      <c r="I91" s="283"/>
      <c r="J91" s="283"/>
      <c r="K91" s="283"/>
      <c r="L91" s="284">
        <v>1</v>
      </c>
      <c r="M91" s="284">
        <f>L91</f>
        <v>1</v>
      </c>
      <c r="N91" s="284"/>
      <c r="O91" s="284"/>
      <c r="P91" s="284">
        <v>1</v>
      </c>
      <c r="Q91" s="284"/>
      <c r="R91" s="284">
        <f>E91+I91+M91</f>
        <v>1</v>
      </c>
      <c r="S91" s="284"/>
      <c r="T91" s="284"/>
      <c r="U91" s="670">
        <f>P91+S91/2</f>
        <v>1</v>
      </c>
      <c r="V91" s="670"/>
      <c r="W91" s="670">
        <f>R91+T91/2</f>
        <v>1</v>
      </c>
    </row>
    <row r="92" spans="1:23" s="32" customFormat="1" ht="14.45" customHeight="1" x14ac:dyDescent="0.25">
      <c r="A92" s="5" t="s">
        <v>148</v>
      </c>
      <c r="B92" s="1123" t="s">
        <v>1202</v>
      </c>
      <c r="C92" s="1124"/>
      <c r="D92" s="1124"/>
      <c r="E92" s="1125"/>
      <c r="F92" s="1125"/>
      <c r="G92" s="1125"/>
      <c r="H92" s="1125"/>
      <c r="I92" s="1126"/>
      <c r="J92" s="1126"/>
      <c r="K92" s="1126"/>
      <c r="L92" s="1127">
        <v>0.5</v>
      </c>
      <c r="M92" s="1127">
        <f>L92</f>
        <v>0.5</v>
      </c>
      <c r="N92" s="1127"/>
      <c r="O92" s="1127"/>
      <c r="P92" s="1127">
        <f>L92+N92</f>
        <v>0.5</v>
      </c>
      <c r="Q92" s="1127"/>
      <c r="R92" s="1127">
        <f>E92+I92+M92</f>
        <v>0.5</v>
      </c>
      <c r="S92" s="1127"/>
      <c r="T92" s="1127"/>
      <c r="U92" s="1128">
        <f>P92+S92</f>
        <v>0.5</v>
      </c>
      <c r="V92" s="1129"/>
      <c r="W92" s="1130">
        <f>R92+T92/2</f>
        <v>0.5</v>
      </c>
    </row>
    <row r="93" spans="1:23" s="32" customFormat="1" ht="14.45" customHeight="1" x14ac:dyDescent="0.25">
      <c r="A93" s="5" t="s">
        <v>149</v>
      </c>
      <c r="B93" s="277" t="s">
        <v>757</v>
      </c>
      <c r="C93" s="281"/>
      <c r="D93" s="281"/>
      <c r="E93" s="282"/>
      <c r="F93" s="282"/>
      <c r="G93" s="282"/>
      <c r="H93" s="282"/>
      <c r="I93" s="283"/>
      <c r="J93" s="283"/>
      <c r="K93" s="283"/>
      <c r="L93" s="284">
        <f>SUM(L70:L92)</f>
        <v>23.5</v>
      </c>
      <c r="M93" s="284">
        <f>L93</f>
        <v>23.5</v>
      </c>
      <c r="N93" s="284">
        <f>SUM(N70:N91)</f>
        <v>0</v>
      </c>
      <c r="O93" s="284">
        <f>SUM(O70:O91)</f>
        <v>0</v>
      </c>
      <c r="P93" s="284">
        <f>SUM(P70:P92)</f>
        <v>23.5</v>
      </c>
      <c r="Q93" s="284"/>
      <c r="R93" s="284">
        <f>E93+I93+M93</f>
        <v>23.5</v>
      </c>
      <c r="S93" s="284">
        <f>SUM(S70:S91)</f>
        <v>0</v>
      </c>
      <c r="T93" s="284">
        <f>SUM(T70:T91)</f>
        <v>0</v>
      </c>
      <c r="U93" s="771">
        <f>P93+S93/2</f>
        <v>23.5</v>
      </c>
      <c r="V93" s="965">
        <v>0</v>
      </c>
      <c r="W93" s="771">
        <f>SUM(W70:W92)</f>
        <v>23.5</v>
      </c>
    </row>
    <row r="94" spans="1:23" s="32" customFormat="1" ht="14.45" customHeight="1" x14ac:dyDescent="0.25">
      <c r="A94" s="5"/>
      <c r="B94" s="666"/>
      <c r="C94" s="752"/>
      <c r="D94" s="752"/>
      <c r="E94" s="753"/>
      <c r="F94" s="753"/>
      <c r="G94" s="753"/>
      <c r="H94" s="753"/>
      <c r="I94" s="754"/>
      <c r="J94" s="754"/>
      <c r="K94" s="754"/>
      <c r="L94" s="755"/>
      <c r="M94" s="755"/>
      <c r="N94" s="755"/>
      <c r="O94" s="755"/>
      <c r="P94" s="755"/>
      <c r="Q94" s="755"/>
      <c r="R94" s="755"/>
      <c r="S94" s="755"/>
      <c r="T94" s="755"/>
      <c r="U94" s="756"/>
      <c r="V94" s="755"/>
      <c r="W94" s="755"/>
    </row>
    <row r="95" spans="1:23" s="32" customFormat="1" ht="14.45" customHeight="1" x14ac:dyDescent="0.25">
      <c r="A95" s="5"/>
      <c r="B95" s="79"/>
      <c r="C95" s="73"/>
      <c r="D95" s="73"/>
      <c r="E95" s="56"/>
      <c r="F95" s="56"/>
      <c r="G95" s="56"/>
      <c r="H95" s="56"/>
      <c r="I95" s="74"/>
      <c r="J95" s="74"/>
      <c r="K95" s="74"/>
      <c r="L95" s="57"/>
      <c r="M95" s="57"/>
      <c r="N95" s="57"/>
      <c r="O95" s="57"/>
      <c r="P95" s="57"/>
      <c r="Q95" s="57"/>
      <c r="R95" s="57"/>
      <c r="S95" s="57"/>
      <c r="T95" s="57"/>
      <c r="U95" s="279"/>
      <c r="V95" s="57"/>
      <c r="W95" s="57"/>
    </row>
    <row r="96" spans="1:23" s="32" customFormat="1" ht="14.45" customHeight="1" x14ac:dyDescent="0.25">
      <c r="A96" s="5"/>
      <c r="B96" s="79"/>
      <c r="C96" s="73"/>
      <c r="D96" s="73"/>
      <c r="E96" s="56"/>
      <c r="F96" s="56"/>
      <c r="G96" s="56"/>
      <c r="H96" s="56"/>
      <c r="I96" s="74"/>
      <c r="J96" s="74"/>
      <c r="K96" s="74"/>
      <c r="L96" s="57"/>
      <c r="M96" s="57"/>
      <c r="N96" s="57"/>
      <c r="O96" s="57"/>
      <c r="P96" s="57"/>
      <c r="Q96" s="57"/>
      <c r="R96" s="57"/>
      <c r="S96" s="57"/>
      <c r="T96" s="57"/>
      <c r="U96" s="279"/>
      <c r="V96" s="57"/>
      <c r="W96" s="57"/>
    </row>
    <row r="97" spans="1:241" s="32" customFormat="1" ht="14.45" customHeight="1" x14ac:dyDescent="0.25">
      <c r="A97" s="278" t="s">
        <v>152</v>
      </c>
      <c r="B97" s="79" t="s">
        <v>546</v>
      </c>
      <c r="C97" s="73"/>
      <c r="D97" s="73"/>
      <c r="E97" s="56"/>
      <c r="F97" s="56"/>
      <c r="G97" s="56"/>
      <c r="H97" s="56"/>
      <c r="I97" s="74"/>
      <c r="J97" s="74"/>
      <c r="K97" s="74"/>
      <c r="L97" s="57"/>
      <c r="M97" s="57"/>
      <c r="N97" s="57"/>
      <c r="O97" s="57"/>
      <c r="P97" s="57"/>
      <c r="Q97" s="57"/>
      <c r="R97" s="57"/>
      <c r="S97" s="57"/>
      <c r="T97" s="57"/>
      <c r="U97" s="279"/>
      <c r="V97" s="57"/>
      <c r="W97" s="57"/>
    </row>
    <row r="98" spans="1:241" s="32" customFormat="1" ht="14.45" customHeight="1" x14ac:dyDescent="0.25">
      <c r="A98" s="278" t="s">
        <v>153</v>
      </c>
      <c r="B98" s="280" t="s">
        <v>550</v>
      </c>
      <c r="C98" s="281"/>
      <c r="D98" s="281"/>
      <c r="E98" s="282"/>
      <c r="F98" s="282"/>
      <c r="G98" s="282"/>
      <c r="H98" s="282"/>
      <c r="I98" s="283"/>
      <c r="J98" s="283"/>
      <c r="K98" s="283"/>
      <c r="L98" s="283">
        <v>13</v>
      </c>
      <c r="M98" s="283">
        <f>L98</f>
        <v>13</v>
      </c>
      <c r="N98" s="284"/>
      <c r="O98" s="284"/>
      <c r="P98" s="283">
        <f>L98</f>
        <v>13</v>
      </c>
      <c r="Q98" s="284"/>
      <c r="R98" s="284">
        <f>M98+I98+E98</f>
        <v>13</v>
      </c>
      <c r="S98" s="284"/>
      <c r="T98" s="284"/>
      <c r="U98" s="283">
        <f>P98+S98/2</f>
        <v>13</v>
      </c>
      <c r="V98" s="284"/>
      <c r="W98" s="284">
        <f>R98+T98/2</f>
        <v>13</v>
      </c>
    </row>
    <row r="99" spans="1:241" s="32" customFormat="1" ht="14.45" customHeight="1" x14ac:dyDescent="0.25">
      <c r="A99" s="278" t="s">
        <v>154</v>
      </c>
      <c r="B99" s="280" t="s">
        <v>551</v>
      </c>
      <c r="C99" s="281"/>
      <c r="D99" s="281"/>
      <c r="E99" s="282"/>
      <c r="F99" s="282"/>
      <c r="G99" s="282"/>
      <c r="H99" s="282"/>
      <c r="I99" s="283"/>
      <c r="J99" s="283"/>
      <c r="K99" s="283"/>
      <c r="L99" s="283">
        <v>8</v>
      </c>
      <c r="M99" s="283">
        <f>L99</f>
        <v>8</v>
      </c>
      <c r="N99" s="284"/>
      <c r="O99" s="284"/>
      <c r="P99" s="283">
        <f>L99</f>
        <v>8</v>
      </c>
      <c r="Q99" s="284"/>
      <c r="R99" s="284">
        <f>P99+Q99</f>
        <v>8</v>
      </c>
      <c r="S99" s="284"/>
      <c r="T99" s="284"/>
      <c r="U99" s="283">
        <f>P99+S99/2</f>
        <v>8</v>
      </c>
      <c r="V99" s="284"/>
      <c r="W99" s="284">
        <f>R99+T99/2</f>
        <v>8</v>
      </c>
    </row>
    <row r="100" spans="1:241" s="32" customFormat="1" ht="14.45" customHeight="1" x14ac:dyDescent="0.25">
      <c r="A100" s="278" t="s">
        <v>155</v>
      </c>
      <c r="B100" s="280" t="s">
        <v>552</v>
      </c>
      <c r="C100" s="281"/>
      <c r="D100" s="281"/>
      <c r="E100" s="282"/>
      <c r="F100" s="282"/>
      <c r="G100" s="282"/>
      <c r="H100" s="282"/>
      <c r="I100" s="283"/>
      <c r="J100" s="283"/>
      <c r="K100" s="283"/>
      <c r="L100" s="283">
        <v>3</v>
      </c>
      <c r="M100" s="283">
        <f>L100</f>
        <v>3</v>
      </c>
      <c r="N100" s="284"/>
      <c r="O100" s="284"/>
      <c r="P100" s="283">
        <v>3</v>
      </c>
      <c r="Q100" s="284"/>
      <c r="R100" s="284">
        <v>3</v>
      </c>
      <c r="S100" s="284"/>
      <c r="T100" s="284"/>
      <c r="U100" s="283">
        <f>P100+S100/2</f>
        <v>3</v>
      </c>
      <c r="V100" s="284"/>
      <c r="W100" s="284">
        <f>R100+T100/2</f>
        <v>3</v>
      </c>
    </row>
    <row r="101" spans="1:241" s="32" customFormat="1" ht="14.45" customHeight="1" x14ac:dyDescent="0.25">
      <c r="A101" s="278" t="s">
        <v>156</v>
      </c>
      <c r="B101" s="285" t="s">
        <v>553</v>
      </c>
      <c r="C101" s="286"/>
      <c r="D101" s="286"/>
      <c r="E101" s="287"/>
      <c r="F101" s="287"/>
      <c r="G101" s="287"/>
      <c r="H101" s="287"/>
      <c r="I101" s="283"/>
      <c r="J101" s="283"/>
      <c r="K101" s="283"/>
      <c r="L101" s="284">
        <f>L98+L99+L100</f>
        <v>24</v>
      </c>
      <c r="M101" s="284">
        <f>L101</f>
        <v>24</v>
      </c>
      <c r="N101" s="284">
        <v>0</v>
      </c>
      <c r="O101" s="284">
        <f>O98+O99+O100</f>
        <v>0</v>
      </c>
      <c r="P101" s="284">
        <f>P98+P99+P100</f>
        <v>24</v>
      </c>
      <c r="Q101" s="284"/>
      <c r="R101" s="284">
        <f>R98+R99+R100</f>
        <v>24</v>
      </c>
      <c r="S101" s="284">
        <f>S98+S99+S100</f>
        <v>0</v>
      </c>
      <c r="T101" s="284">
        <f>T98+T99+T100</f>
        <v>0</v>
      </c>
      <c r="U101" s="771">
        <f>P101+S101/2</f>
        <v>24</v>
      </c>
      <c r="V101" s="965">
        <v>0</v>
      </c>
      <c r="W101" s="771">
        <f>R101+T101/2</f>
        <v>24</v>
      </c>
    </row>
    <row r="102" spans="1:241" ht="15.75" customHeight="1" x14ac:dyDescent="0.25">
      <c r="A102" s="278"/>
      <c r="B102" s="757"/>
      <c r="C102" s="758"/>
      <c r="D102" s="758"/>
      <c r="E102" s="759"/>
      <c r="F102" s="759"/>
      <c r="G102" s="759"/>
      <c r="H102" s="759"/>
      <c r="I102" s="760"/>
      <c r="J102" s="760"/>
      <c r="K102" s="760"/>
      <c r="L102" s="761"/>
      <c r="M102" s="761"/>
      <c r="N102" s="761"/>
      <c r="O102" s="761"/>
      <c r="P102" s="761"/>
      <c r="Q102" s="761"/>
      <c r="R102" s="761"/>
      <c r="S102" s="761"/>
      <c r="T102" s="761"/>
      <c r="U102" s="761"/>
      <c r="V102" s="761"/>
      <c r="W102" s="76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</row>
    <row r="103" spans="1:241" s="32" customFormat="1" ht="14.45" customHeight="1" x14ac:dyDescent="0.25">
      <c r="A103" s="278"/>
      <c r="B103" s="54"/>
      <c r="C103" s="55"/>
      <c r="D103" s="55"/>
      <c r="E103" s="56"/>
      <c r="F103" s="56"/>
      <c r="G103" s="56"/>
      <c r="H103" s="56"/>
      <c r="I103" s="74"/>
      <c r="J103" s="74"/>
      <c r="K103" s="74"/>
      <c r="L103" s="74"/>
      <c r="M103" s="74"/>
      <c r="N103" s="74"/>
      <c r="O103" s="74"/>
      <c r="P103" s="74"/>
      <c r="Q103" s="74"/>
      <c r="R103" s="61"/>
      <c r="S103" s="61"/>
      <c r="T103" s="61"/>
      <c r="U103" s="61"/>
      <c r="V103" s="61"/>
      <c r="W103" s="61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</row>
    <row r="104" spans="1:241" s="32" customFormat="1" ht="15.75" customHeight="1" x14ac:dyDescent="0.25">
      <c r="A104" s="278" t="s">
        <v>158</v>
      </c>
      <c r="B104" s="49" t="s">
        <v>721</v>
      </c>
      <c r="C104" s="50">
        <f>C24+C40+C64</f>
        <v>0</v>
      </c>
      <c r="D104" s="50"/>
      <c r="E104" s="50">
        <f>E24+E40+E64</f>
        <v>0</v>
      </c>
      <c r="F104" s="50"/>
      <c r="G104" s="50"/>
      <c r="H104" s="50">
        <f>H24+H40+H64</f>
        <v>0</v>
      </c>
      <c r="I104" s="50">
        <f>I24+I40+I64</f>
        <v>0</v>
      </c>
      <c r="J104" s="50">
        <f>J24+J40+J64</f>
        <v>0</v>
      </c>
      <c r="K104" s="50">
        <f>K24+K40+K64</f>
        <v>0</v>
      </c>
      <c r="L104" s="50">
        <f t="shared" ref="L104:W104" si="17">L24+L40+L101+L93</f>
        <v>187</v>
      </c>
      <c r="M104" s="50">
        <f t="shared" si="17"/>
        <v>187</v>
      </c>
      <c r="N104" s="50">
        <f t="shared" si="17"/>
        <v>1</v>
      </c>
      <c r="O104" s="50">
        <f t="shared" si="17"/>
        <v>1</v>
      </c>
      <c r="P104" s="50">
        <f t="shared" si="17"/>
        <v>187</v>
      </c>
      <c r="Q104" s="966">
        <f>Q101+Q93+Q40+Q24</f>
        <v>0</v>
      </c>
      <c r="R104" s="50">
        <f t="shared" si="17"/>
        <v>187</v>
      </c>
      <c r="S104" s="50">
        <f t="shared" si="17"/>
        <v>1</v>
      </c>
      <c r="T104" s="50">
        <f t="shared" si="17"/>
        <v>1</v>
      </c>
      <c r="U104" s="772">
        <f t="shared" si="17"/>
        <v>187.5</v>
      </c>
      <c r="V104" s="772">
        <f t="shared" ref="V104" si="18">V101+V93+V40+V24</f>
        <v>0</v>
      </c>
      <c r="W104" s="772">
        <f t="shared" si="17"/>
        <v>187.5</v>
      </c>
    </row>
    <row r="105" spans="1:241" s="32" customFormat="1" ht="14.45" customHeight="1" x14ac:dyDescent="0.25">
      <c r="A105" s="278"/>
      <c r="B105" s="59"/>
      <c r="C105" s="60"/>
      <c r="D105" s="60"/>
      <c r="E105" s="61"/>
      <c r="F105" s="61"/>
      <c r="G105" s="61"/>
      <c r="H105" s="61"/>
      <c r="I105" s="62"/>
      <c r="J105" s="62"/>
      <c r="K105" s="62"/>
      <c r="L105" s="62"/>
      <c r="M105" s="61"/>
      <c r="N105" s="61"/>
      <c r="O105" s="61"/>
      <c r="P105" s="61"/>
      <c r="Q105" s="57"/>
      <c r="R105" s="71"/>
      <c r="S105" s="72"/>
      <c r="T105" s="72"/>
      <c r="U105" s="492"/>
      <c r="V105" s="492"/>
      <c r="W105" s="492"/>
    </row>
    <row r="106" spans="1:241" ht="14.45" customHeight="1" x14ac:dyDescent="0.25">
      <c r="A106" s="278" t="s">
        <v>161</v>
      </c>
      <c r="B106" s="49" t="s">
        <v>637</v>
      </c>
      <c r="C106" s="78">
        <f>C10+C12+C104</f>
        <v>8</v>
      </c>
      <c r="D106" s="898">
        <f>D10+D12+D104</f>
        <v>-1</v>
      </c>
      <c r="E106" s="967">
        <f>E104+E10+E12</f>
        <v>7</v>
      </c>
      <c r="F106" s="78"/>
      <c r="G106" s="78"/>
      <c r="H106" s="78">
        <f>H10+H12+H104</f>
        <v>38</v>
      </c>
      <c r="I106" s="78">
        <f>I10+I12+I104</f>
        <v>38</v>
      </c>
      <c r="J106" s="78">
        <f>J10+J12+J104</f>
        <v>0</v>
      </c>
      <c r="K106" s="78">
        <f>K10+K12+K104</f>
        <v>0</v>
      </c>
      <c r="L106" s="493">
        <f>L104</f>
        <v>187</v>
      </c>
      <c r="M106" s="493">
        <f>M10+M12+M104</f>
        <v>187</v>
      </c>
      <c r="N106" s="493">
        <f>N10+N12+N104</f>
        <v>1</v>
      </c>
      <c r="O106" s="493">
        <f>O10+O12+O104</f>
        <v>1</v>
      </c>
      <c r="P106" s="53">
        <f>C106+H106+L106</f>
        <v>233</v>
      </c>
      <c r="Q106" s="899">
        <f>Q10+Q12+Q104</f>
        <v>-1</v>
      </c>
      <c r="R106" s="276">
        <f>R104+R12+R10</f>
        <v>232</v>
      </c>
      <c r="S106" s="527">
        <f>S10+S12+S104</f>
        <v>1</v>
      </c>
      <c r="T106" s="527">
        <f>T10+T12+T104</f>
        <v>1</v>
      </c>
      <c r="U106" s="1047">
        <f>U10+U12+U104</f>
        <v>233.5</v>
      </c>
      <c r="V106" s="968">
        <f>V104+V12+V10</f>
        <v>-1</v>
      </c>
      <c r="W106" s="559">
        <f>W104+W12+W10</f>
        <v>232.5</v>
      </c>
      <c r="X106" s="608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</row>
    <row r="107" spans="1:241" ht="15.75" customHeight="1" x14ac:dyDescent="0.25">
      <c r="B107" s="79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28"/>
      <c r="Q107" s="661"/>
      <c r="R107" s="528"/>
      <c r="S107" s="661"/>
      <c r="T107" s="661"/>
      <c r="U107" s="661"/>
      <c r="V107" s="661"/>
      <c r="W107" s="661"/>
    </row>
    <row r="108" spans="1:241" ht="15.75" customHeight="1" x14ac:dyDescent="0.25">
      <c r="B108" s="1335"/>
      <c r="C108" s="1335"/>
      <c r="D108" s="1335"/>
      <c r="E108" s="1335"/>
      <c r="F108" s="1335"/>
      <c r="G108" s="1335"/>
      <c r="H108" s="1335"/>
      <c r="I108" s="1335"/>
      <c r="J108" s="1335"/>
      <c r="K108" s="1335"/>
      <c r="L108" s="1335"/>
      <c r="M108" s="528"/>
      <c r="N108" s="57"/>
      <c r="O108" s="57"/>
      <c r="P108" s="528"/>
      <c r="Q108" s="661"/>
      <c r="R108" s="528"/>
      <c r="S108" s="661"/>
      <c r="T108" s="661"/>
      <c r="U108" s="661"/>
      <c r="V108" s="661"/>
      <c r="W108" s="661"/>
      <c r="X108" s="529"/>
    </row>
    <row r="109" spans="1:241" ht="13.9" customHeight="1" x14ac:dyDescent="0.25">
      <c r="A109" s="16"/>
      <c r="B109" s="1336"/>
      <c r="C109" s="1336"/>
      <c r="D109" s="1336"/>
      <c r="E109" s="1336"/>
      <c r="F109" s="1336"/>
      <c r="G109" s="1336"/>
      <c r="H109" s="1336"/>
      <c r="I109" s="1336"/>
      <c r="J109" s="1336"/>
      <c r="K109" s="1336"/>
      <c r="L109" s="1336"/>
      <c r="M109" s="1336"/>
      <c r="N109" s="1336"/>
      <c r="O109" s="1336"/>
      <c r="P109" s="1336"/>
      <c r="Q109" s="1336"/>
      <c r="R109" s="1336"/>
      <c r="S109" s="1336"/>
      <c r="T109" s="1336"/>
      <c r="U109" s="1336"/>
      <c r="V109" s="1336"/>
      <c r="W109" s="1336"/>
      <c r="X109" s="529"/>
    </row>
    <row r="110" spans="1:241" ht="13.9" customHeight="1" x14ac:dyDescent="0.25">
      <c r="B110" s="24" t="s">
        <v>299</v>
      </c>
    </row>
  </sheetData>
  <sheetProtection selectLockedCells="1" selectUnlockedCells="1"/>
  <mergeCells count="29">
    <mergeCell ref="A1:W1"/>
    <mergeCell ref="A2:W2"/>
    <mergeCell ref="A3:W3"/>
    <mergeCell ref="A5:A8"/>
    <mergeCell ref="C5:E5"/>
    <mergeCell ref="F5:G5"/>
    <mergeCell ref="H5:I5"/>
    <mergeCell ref="J5:K5"/>
    <mergeCell ref="L5:M5"/>
    <mergeCell ref="N5:O5"/>
    <mergeCell ref="P5:R5"/>
    <mergeCell ref="S5:T5"/>
    <mergeCell ref="U5:W5"/>
    <mergeCell ref="B6:B8"/>
    <mergeCell ref="C6:G6"/>
    <mergeCell ref="H6:K6"/>
    <mergeCell ref="L6:O6"/>
    <mergeCell ref="P6:T6"/>
    <mergeCell ref="U6:W7"/>
    <mergeCell ref="C7:E7"/>
    <mergeCell ref="S7:T7"/>
    <mergeCell ref="B108:L108"/>
    <mergeCell ref="B109:W109"/>
    <mergeCell ref="F7:G7"/>
    <mergeCell ref="H7:I7"/>
    <mergeCell ref="J7:K7"/>
    <mergeCell ref="L7:M7"/>
    <mergeCell ref="N7:O7"/>
    <mergeCell ref="P7:R7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334" t="s">
        <v>954</v>
      </c>
      <c r="B1" s="1334"/>
      <c r="C1" s="1334"/>
      <c r="D1" s="1334"/>
      <c r="E1" s="1334"/>
      <c r="F1" s="1334"/>
      <c r="G1" s="1334"/>
      <c r="H1" s="133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4"/>
      <c r="AC1" s="714"/>
      <c r="AD1" s="714"/>
      <c r="AE1" s="714"/>
      <c r="AF1" s="714"/>
      <c r="AG1" s="714"/>
      <c r="AH1" s="714"/>
      <c r="AI1" s="714"/>
    </row>
    <row r="2" spans="1:35" x14ac:dyDescent="0.2">
      <c r="C2" t="s">
        <v>349</v>
      </c>
    </row>
    <row r="3" spans="1:35" ht="14.25" x14ac:dyDescent="0.2">
      <c r="A3" s="1346" t="s">
        <v>338</v>
      </c>
      <c r="B3" s="1346"/>
      <c r="C3" s="1346"/>
      <c r="D3" s="1346"/>
      <c r="E3" s="1346"/>
      <c r="F3" s="1346"/>
      <c r="G3" s="1346"/>
      <c r="H3" s="1346"/>
    </row>
    <row r="4" spans="1:35" ht="14.25" x14ac:dyDescent="0.2">
      <c r="A4" s="1346" t="s">
        <v>339</v>
      </c>
      <c r="B4" s="1346"/>
      <c r="C4" s="1346"/>
      <c r="D4" s="1346"/>
      <c r="E4" s="1346"/>
      <c r="F4" s="1346"/>
      <c r="G4" s="1346"/>
      <c r="H4" s="1346"/>
    </row>
    <row r="5" spans="1:35" ht="14.25" x14ac:dyDescent="0.2">
      <c r="A5" s="1347" t="s">
        <v>55</v>
      </c>
      <c r="B5" s="1347"/>
      <c r="C5" s="1347"/>
      <c r="D5" s="1347"/>
      <c r="E5" s="1347"/>
      <c r="F5" s="1347"/>
      <c r="G5" s="1347"/>
      <c r="H5" s="1347"/>
    </row>
    <row r="6" spans="1:35" ht="15" x14ac:dyDescent="0.25">
      <c r="A6" s="402"/>
      <c r="B6" s="676"/>
      <c r="C6" s="676"/>
      <c r="D6" s="676"/>
      <c r="E6" s="676"/>
    </row>
    <row r="7" spans="1:35" ht="14.25" customHeight="1" x14ac:dyDescent="0.2">
      <c r="A7" s="1348"/>
      <c r="B7" s="677" t="s">
        <v>57</v>
      </c>
      <c r="C7" s="677" t="s">
        <v>58</v>
      </c>
      <c r="D7" s="677" t="s">
        <v>59</v>
      </c>
      <c r="E7" s="677" t="s">
        <v>60</v>
      </c>
      <c r="F7" s="678" t="s">
        <v>499</v>
      </c>
      <c r="G7" s="678" t="s">
        <v>500</v>
      </c>
      <c r="H7" s="678" t="s">
        <v>501</v>
      </c>
    </row>
    <row r="8" spans="1:35" ht="14.25" customHeight="1" x14ac:dyDescent="0.2">
      <c r="A8" s="1348"/>
      <c r="B8" s="1349" t="s">
        <v>822</v>
      </c>
      <c r="C8" s="1350" t="s">
        <v>341</v>
      </c>
      <c r="D8" s="1351" t="s">
        <v>342</v>
      </c>
      <c r="E8" s="1352"/>
      <c r="F8" s="1353"/>
    </row>
    <row r="9" spans="1:35" ht="15.75" x14ac:dyDescent="0.25">
      <c r="A9" s="1348"/>
      <c r="B9" s="1349"/>
      <c r="C9" s="1350"/>
      <c r="D9" s="1351"/>
      <c r="E9" s="405">
        <v>2015</v>
      </c>
      <c r="F9" s="679">
        <v>2017</v>
      </c>
      <c r="G9" s="701">
        <v>2017</v>
      </c>
      <c r="H9" s="701">
        <v>2018</v>
      </c>
    </row>
    <row r="10" spans="1:35" ht="15" x14ac:dyDescent="0.25">
      <c r="A10" s="680"/>
      <c r="B10" s="681" t="s">
        <v>348</v>
      </c>
      <c r="C10" s="682"/>
      <c r="D10" s="702"/>
      <c r="E10" s="682"/>
    </row>
    <row r="11" spans="1:35" ht="15" x14ac:dyDescent="0.25">
      <c r="A11" s="683">
        <v>1</v>
      </c>
      <c r="B11" s="684" t="s">
        <v>823</v>
      </c>
      <c r="C11" s="685" t="s">
        <v>824</v>
      </c>
      <c r="D11" s="703" t="s">
        <v>354</v>
      </c>
      <c r="E11" s="686">
        <v>41</v>
      </c>
      <c r="F11" s="686">
        <v>50</v>
      </c>
      <c r="G11" s="686">
        <v>50</v>
      </c>
      <c r="H11" s="686">
        <v>50</v>
      </c>
    </row>
    <row r="12" spans="1:35" ht="15" x14ac:dyDescent="0.25">
      <c r="A12" s="683">
        <v>2</v>
      </c>
      <c r="B12" s="684" t="s">
        <v>825</v>
      </c>
      <c r="C12" s="685" t="s">
        <v>826</v>
      </c>
      <c r="D12" s="703" t="s">
        <v>354</v>
      </c>
      <c r="E12" s="686">
        <v>125</v>
      </c>
      <c r="F12" s="686">
        <v>147</v>
      </c>
      <c r="G12" s="686">
        <v>147</v>
      </c>
      <c r="H12" s="686">
        <v>147</v>
      </c>
    </row>
    <row r="13" spans="1:35" ht="25.5" customHeight="1" x14ac:dyDescent="0.25">
      <c r="A13" s="683">
        <v>3</v>
      </c>
      <c r="B13" s="687" t="s">
        <v>827</v>
      </c>
      <c r="C13" s="688" t="s">
        <v>770</v>
      </c>
      <c r="D13" s="704" t="s">
        <v>354</v>
      </c>
      <c r="E13" s="689"/>
      <c r="F13" s="689">
        <v>240</v>
      </c>
      <c r="G13" s="689">
        <v>240</v>
      </c>
      <c r="H13" s="689">
        <v>240</v>
      </c>
    </row>
    <row r="14" spans="1:35" ht="15" x14ac:dyDescent="0.25">
      <c r="A14" s="683">
        <v>4</v>
      </c>
      <c r="B14" s="684" t="s">
        <v>397</v>
      </c>
      <c r="C14" s="685" t="s">
        <v>828</v>
      </c>
      <c r="D14" s="703" t="s">
        <v>354</v>
      </c>
      <c r="E14" s="686">
        <v>330</v>
      </c>
      <c r="F14" s="686">
        <v>335</v>
      </c>
      <c r="G14" s="686">
        <v>335</v>
      </c>
      <c r="H14" s="686">
        <v>335</v>
      </c>
    </row>
    <row r="15" spans="1:35" ht="15" x14ac:dyDescent="0.25">
      <c r="A15" s="683">
        <v>5</v>
      </c>
      <c r="B15" s="684" t="s">
        <v>399</v>
      </c>
      <c r="C15" s="685" t="s">
        <v>829</v>
      </c>
      <c r="D15" s="703" t="s">
        <v>354</v>
      </c>
      <c r="E15" s="686">
        <v>930</v>
      </c>
      <c r="F15" s="686">
        <v>960</v>
      </c>
      <c r="G15" s="686">
        <v>960</v>
      </c>
      <c r="H15" s="686">
        <v>960</v>
      </c>
    </row>
    <row r="16" spans="1:35" ht="15" x14ac:dyDescent="0.25">
      <c r="A16" s="683">
        <v>6</v>
      </c>
      <c r="B16" s="684" t="s">
        <v>830</v>
      </c>
      <c r="C16" s="685" t="s">
        <v>831</v>
      </c>
      <c r="D16" s="703" t="s">
        <v>354</v>
      </c>
      <c r="E16" s="686"/>
      <c r="F16" s="686">
        <v>700</v>
      </c>
      <c r="G16" s="686">
        <v>700</v>
      </c>
      <c r="H16" s="686">
        <v>700</v>
      </c>
    </row>
    <row r="17" spans="1:8" ht="15" x14ac:dyDescent="0.25">
      <c r="A17" s="683">
        <v>7</v>
      </c>
      <c r="B17" s="685" t="s">
        <v>417</v>
      </c>
      <c r="C17" s="685" t="s">
        <v>832</v>
      </c>
      <c r="D17" s="705" t="s">
        <v>354</v>
      </c>
      <c r="E17" s="686">
        <v>225</v>
      </c>
      <c r="F17" s="686">
        <v>271</v>
      </c>
      <c r="G17" s="686">
        <v>271</v>
      </c>
      <c r="H17" s="686">
        <v>271</v>
      </c>
    </row>
    <row r="18" spans="1:8" ht="24.75" customHeight="1" x14ac:dyDescent="0.25">
      <c r="A18" s="683">
        <v>8</v>
      </c>
      <c r="B18" s="690" t="s">
        <v>833</v>
      </c>
      <c r="C18" s="691" t="s">
        <v>834</v>
      </c>
      <c r="D18" s="706" t="s">
        <v>354</v>
      </c>
      <c r="E18" s="692">
        <v>233</v>
      </c>
      <c r="F18" s="692">
        <v>236</v>
      </c>
      <c r="G18" s="692">
        <v>236</v>
      </c>
      <c r="H18" s="692">
        <v>236</v>
      </c>
    </row>
    <row r="19" spans="1:8" ht="20.25" customHeight="1" x14ac:dyDescent="0.25">
      <c r="A19" s="683">
        <v>9</v>
      </c>
      <c r="B19" s="690" t="s">
        <v>423</v>
      </c>
      <c r="C19" s="691" t="s">
        <v>835</v>
      </c>
      <c r="D19" s="706" t="s">
        <v>354</v>
      </c>
      <c r="E19" s="692">
        <v>250</v>
      </c>
      <c r="F19" s="692">
        <v>200</v>
      </c>
      <c r="G19" s="692">
        <v>200</v>
      </c>
      <c r="H19" s="692">
        <v>200</v>
      </c>
    </row>
    <row r="20" spans="1:8" ht="27.75" customHeight="1" x14ac:dyDescent="0.25">
      <c r="A20" s="683">
        <v>10</v>
      </c>
      <c r="B20" s="690" t="s">
        <v>434</v>
      </c>
      <c r="C20" s="691" t="s">
        <v>836</v>
      </c>
      <c r="D20" s="706" t="s">
        <v>354</v>
      </c>
      <c r="E20" s="692">
        <v>1800</v>
      </c>
      <c r="F20" s="692">
        <v>1800</v>
      </c>
      <c r="G20" s="692">
        <v>1800</v>
      </c>
      <c r="H20" s="692">
        <v>1800</v>
      </c>
    </row>
    <row r="21" spans="1:8" ht="28.5" customHeight="1" x14ac:dyDescent="0.25">
      <c r="A21" s="683">
        <v>11</v>
      </c>
      <c r="B21" s="690" t="s">
        <v>436</v>
      </c>
      <c r="C21" s="691" t="s">
        <v>837</v>
      </c>
      <c r="D21" s="706" t="s">
        <v>354</v>
      </c>
      <c r="E21" s="692">
        <v>2000</v>
      </c>
      <c r="F21" s="692">
        <v>2000</v>
      </c>
      <c r="G21" s="692">
        <v>2000</v>
      </c>
      <c r="H21" s="692">
        <v>2000</v>
      </c>
    </row>
    <row r="22" spans="1:8" ht="48" customHeight="1" x14ac:dyDescent="0.2">
      <c r="A22" s="707">
        <v>12</v>
      </c>
      <c r="B22" s="693" t="s">
        <v>838</v>
      </c>
      <c r="C22" s="708" t="s">
        <v>839</v>
      </c>
      <c r="D22" s="709" t="s">
        <v>354</v>
      </c>
      <c r="E22" s="710"/>
      <c r="F22" s="710">
        <v>97</v>
      </c>
      <c r="G22" s="710">
        <v>97</v>
      </c>
      <c r="H22" s="710">
        <v>97</v>
      </c>
    </row>
    <row r="23" spans="1:8" ht="30" customHeight="1" x14ac:dyDescent="0.25">
      <c r="A23" s="683">
        <v>13</v>
      </c>
      <c r="B23" s="690" t="s">
        <v>840</v>
      </c>
      <c r="C23" s="691" t="s">
        <v>841</v>
      </c>
      <c r="D23" s="706">
        <v>43465</v>
      </c>
      <c r="E23" s="692"/>
      <c r="F23" s="692">
        <v>991</v>
      </c>
      <c r="G23" s="692">
        <v>991</v>
      </c>
      <c r="H23" s="692">
        <v>991</v>
      </c>
    </row>
    <row r="24" spans="1:8" ht="33" customHeight="1" x14ac:dyDescent="0.25">
      <c r="A24" s="683">
        <v>14</v>
      </c>
      <c r="B24" s="690" t="s">
        <v>842</v>
      </c>
      <c r="C24" s="691" t="s">
        <v>843</v>
      </c>
      <c r="D24" s="706" t="s">
        <v>354</v>
      </c>
      <c r="E24" s="692"/>
      <c r="F24" s="692">
        <v>515</v>
      </c>
      <c r="G24" s="692">
        <v>515</v>
      </c>
      <c r="H24" s="692">
        <v>515</v>
      </c>
    </row>
    <row r="25" spans="1:8" ht="15" x14ac:dyDescent="0.25">
      <c r="A25" s="683">
        <v>17</v>
      </c>
      <c r="B25" s="695" t="s">
        <v>844</v>
      </c>
      <c r="C25" s="695" t="s">
        <v>845</v>
      </c>
      <c r="D25" s="711">
        <v>43009</v>
      </c>
      <c r="E25" s="696"/>
      <c r="F25" s="697">
        <v>3500</v>
      </c>
      <c r="G25" s="697">
        <v>3500</v>
      </c>
      <c r="H25" s="697">
        <v>3500</v>
      </c>
    </row>
    <row r="26" spans="1:8" ht="15" x14ac:dyDescent="0.25">
      <c r="A26" s="683">
        <v>22</v>
      </c>
      <c r="B26" s="695" t="s">
        <v>846</v>
      </c>
      <c r="C26" s="695" t="s">
        <v>847</v>
      </c>
      <c r="D26" s="711" t="s">
        <v>354</v>
      </c>
      <c r="E26" s="698"/>
      <c r="F26" s="697">
        <v>248</v>
      </c>
      <c r="G26" s="697">
        <v>248</v>
      </c>
      <c r="H26" s="697">
        <v>248</v>
      </c>
    </row>
    <row r="27" spans="1:8" ht="15.75" x14ac:dyDescent="0.25">
      <c r="A27" s="683">
        <v>23</v>
      </c>
      <c r="B27" s="695" t="s">
        <v>848</v>
      </c>
      <c r="C27" s="695" t="s">
        <v>849</v>
      </c>
      <c r="D27" s="700" t="s">
        <v>354</v>
      </c>
      <c r="E27" s="699"/>
      <c r="F27" s="697">
        <v>168</v>
      </c>
      <c r="G27" s="697">
        <v>168</v>
      </c>
      <c r="H27" s="697">
        <v>168</v>
      </c>
    </row>
    <row r="28" spans="1:8" ht="15.75" x14ac:dyDescent="0.25">
      <c r="A28" s="712">
        <v>24</v>
      </c>
      <c r="B28" s="695" t="s">
        <v>850</v>
      </c>
      <c r="C28" s="695" t="s">
        <v>851</v>
      </c>
      <c r="D28" s="700" t="s">
        <v>354</v>
      </c>
      <c r="E28" s="699"/>
      <c r="F28" s="697">
        <v>76</v>
      </c>
      <c r="G28" s="697">
        <v>76</v>
      </c>
      <c r="H28" s="697">
        <v>76</v>
      </c>
    </row>
    <row r="29" spans="1:8" ht="15.75" x14ac:dyDescent="0.25">
      <c r="A29" s="683">
        <v>25</v>
      </c>
      <c r="B29" s="699"/>
      <c r="C29" s="695" t="s">
        <v>852</v>
      </c>
      <c r="D29" s="700" t="s">
        <v>354</v>
      </c>
      <c r="E29" s="699"/>
      <c r="F29" s="694">
        <v>127</v>
      </c>
      <c r="G29" s="694">
        <v>127</v>
      </c>
      <c r="H29" s="694">
        <v>127</v>
      </c>
    </row>
    <row r="30" spans="1:8" ht="15" x14ac:dyDescent="0.25">
      <c r="A30" s="683">
        <v>26</v>
      </c>
      <c r="B30" s="695" t="s">
        <v>853</v>
      </c>
      <c r="C30" s="695" t="s">
        <v>854</v>
      </c>
      <c r="D30" s="711">
        <v>42855</v>
      </c>
      <c r="E30" s="698"/>
      <c r="F30" s="697">
        <v>1531</v>
      </c>
      <c r="G30" s="697">
        <v>1531</v>
      </c>
      <c r="H30" s="697">
        <v>1531</v>
      </c>
    </row>
    <row r="31" spans="1:8" ht="15" x14ac:dyDescent="0.25">
      <c r="A31" s="683">
        <v>27</v>
      </c>
      <c r="B31" s="695" t="s">
        <v>810</v>
      </c>
      <c r="C31" s="695" t="s">
        <v>855</v>
      </c>
      <c r="D31" s="711">
        <v>42855</v>
      </c>
      <c r="E31" s="698"/>
      <c r="F31" s="697">
        <v>3446</v>
      </c>
      <c r="G31" s="697">
        <v>3446</v>
      </c>
      <c r="H31" s="697">
        <v>3446</v>
      </c>
    </row>
    <row r="32" spans="1:8" ht="15" x14ac:dyDescent="0.25">
      <c r="A32" s="683">
        <v>28</v>
      </c>
      <c r="B32" s="695" t="s">
        <v>808</v>
      </c>
      <c r="C32" s="695" t="s">
        <v>856</v>
      </c>
      <c r="D32" s="711">
        <v>42825</v>
      </c>
      <c r="E32" s="698"/>
      <c r="F32" s="697">
        <v>1727</v>
      </c>
      <c r="G32" s="697">
        <v>1727</v>
      </c>
      <c r="H32" s="697">
        <v>1727</v>
      </c>
    </row>
    <row r="33" spans="1:8" ht="15" x14ac:dyDescent="0.25">
      <c r="A33" s="683">
        <v>29</v>
      </c>
      <c r="B33" s="695" t="s">
        <v>857</v>
      </c>
      <c r="C33" s="695" t="s">
        <v>858</v>
      </c>
      <c r="D33" s="711">
        <v>42916</v>
      </c>
      <c r="E33" s="696"/>
      <c r="F33" s="697">
        <v>1270</v>
      </c>
      <c r="G33" s="697">
        <v>1270</v>
      </c>
      <c r="H33" s="697">
        <v>1270</v>
      </c>
    </row>
    <row r="34" spans="1:8" ht="15" x14ac:dyDescent="0.25">
      <c r="A34" s="683">
        <v>30</v>
      </c>
      <c r="B34" s="695"/>
      <c r="C34" s="695" t="s">
        <v>859</v>
      </c>
      <c r="D34" s="711" t="s">
        <v>354</v>
      </c>
      <c r="E34" s="696"/>
      <c r="F34" s="697">
        <v>355</v>
      </c>
      <c r="G34" s="697">
        <v>355</v>
      </c>
      <c r="H34" s="697">
        <v>355</v>
      </c>
    </row>
    <row r="35" spans="1:8" ht="15" x14ac:dyDescent="0.25">
      <c r="A35" s="683">
        <v>31</v>
      </c>
      <c r="B35" s="695"/>
      <c r="C35" s="695" t="s">
        <v>860</v>
      </c>
      <c r="D35" s="711" t="s">
        <v>354</v>
      </c>
      <c r="E35" s="696"/>
      <c r="F35" s="697">
        <v>321</v>
      </c>
      <c r="G35" s="697">
        <v>321</v>
      </c>
      <c r="H35" s="697">
        <v>321</v>
      </c>
    </row>
    <row r="36" spans="1:8" ht="15" x14ac:dyDescent="0.25">
      <c r="A36" s="683">
        <v>32</v>
      </c>
      <c r="B36" s="695"/>
      <c r="C36" s="695" t="s">
        <v>861</v>
      </c>
      <c r="D36" s="711" t="s">
        <v>354</v>
      </c>
      <c r="E36" s="696"/>
      <c r="F36" s="697">
        <v>458</v>
      </c>
      <c r="G36" s="697">
        <v>458</v>
      </c>
      <c r="H36" s="697">
        <v>458</v>
      </c>
    </row>
    <row r="37" spans="1:8" ht="15" x14ac:dyDescent="0.25">
      <c r="A37" s="683">
        <v>33</v>
      </c>
      <c r="B37" s="695" t="s">
        <v>936</v>
      </c>
      <c r="C37" s="695" t="s">
        <v>937</v>
      </c>
      <c r="D37" s="711" t="s">
        <v>354</v>
      </c>
      <c r="E37" s="696"/>
      <c r="F37" s="697">
        <v>131</v>
      </c>
      <c r="G37" s="697">
        <v>131</v>
      </c>
      <c r="H37" s="697">
        <v>131</v>
      </c>
    </row>
    <row r="38" spans="1:8" ht="30" x14ac:dyDescent="0.25">
      <c r="A38" s="683">
        <v>34</v>
      </c>
      <c r="B38" s="695" t="s">
        <v>938</v>
      </c>
      <c r="C38" s="763" t="s">
        <v>939</v>
      </c>
      <c r="D38" s="711" t="s">
        <v>354</v>
      </c>
      <c r="E38" s="696"/>
      <c r="F38" s="697">
        <v>686</v>
      </c>
      <c r="G38" s="697">
        <v>686</v>
      </c>
      <c r="H38" s="697">
        <v>686</v>
      </c>
    </row>
    <row r="39" spans="1:8" ht="15" x14ac:dyDescent="0.25">
      <c r="A39" s="683"/>
      <c r="B39" s="695"/>
      <c r="C39" s="763" t="s">
        <v>940</v>
      </c>
      <c r="D39" s="711" t="s">
        <v>354</v>
      </c>
      <c r="E39" s="696"/>
      <c r="F39" s="697">
        <v>550</v>
      </c>
      <c r="G39" s="697">
        <v>550</v>
      </c>
      <c r="H39" s="697">
        <v>550</v>
      </c>
    </row>
    <row r="40" spans="1:8" ht="15" x14ac:dyDescent="0.25">
      <c r="A40" s="683"/>
      <c r="B40" s="695"/>
      <c r="C40" s="763" t="s">
        <v>935</v>
      </c>
      <c r="D40" s="711" t="s">
        <v>354</v>
      </c>
      <c r="E40" s="696"/>
      <c r="F40" s="697">
        <v>4000</v>
      </c>
      <c r="G40" s="697">
        <v>4000</v>
      </c>
      <c r="H40" s="697">
        <v>4000</v>
      </c>
    </row>
    <row r="41" spans="1:8" ht="15.75" x14ac:dyDescent="0.25">
      <c r="E41" s="713">
        <v>5934</v>
      </c>
      <c r="F41" s="713">
        <f>SUM(F11:F40)</f>
        <v>27136</v>
      </c>
      <c r="G41" s="713">
        <f>SUM(G11:G40)</f>
        <v>27136</v>
      </c>
      <c r="H41" s="713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54" t="s">
        <v>1249</v>
      </c>
      <c r="B1" s="1354"/>
      <c r="C1" s="1354"/>
      <c r="D1" s="1354"/>
      <c r="E1" s="1354"/>
      <c r="F1" s="1354"/>
      <c r="G1" s="1354"/>
      <c r="H1" s="1354"/>
    </row>
    <row r="2" spans="1:8" x14ac:dyDescent="0.2">
      <c r="A2" s="828"/>
      <c r="B2" s="828"/>
      <c r="C2" s="828"/>
      <c r="D2" s="829"/>
      <c r="E2" s="828"/>
      <c r="F2" s="828"/>
      <c r="G2" s="828"/>
      <c r="H2" s="828"/>
    </row>
    <row r="3" spans="1:8" x14ac:dyDescent="0.2">
      <c r="A3" s="1358" t="s">
        <v>78</v>
      </c>
      <c r="B3" s="1358"/>
      <c r="C3" s="1358"/>
      <c r="D3" s="1358"/>
      <c r="E3" s="1358"/>
      <c r="F3" s="1358"/>
      <c r="G3" s="1358"/>
      <c r="H3" s="1358"/>
    </row>
    <row r="4" spans="1:8" ht="14.25" x14ac:dyDescent="0.2">
      <c r="A4" s="1346" t="s">
        <v>338</v>
      </c>
      <c r="B4" s="1346"/>
      <c r="C4" s="1346"/>
      <c r="D4" s="1346"/>
      <c r="E4" s="1346"/>
      <c r="F4" s="1346"/>
      <c r="G4" s="1346"/>
      <c r="H4" s="1346"/>
    </row>
    <row r="5" spans="1:8" ht="14.25" x14ac:dyDescent="0.2">
      <c r="A5" s="1346" t="s">
        <v>1205</v>
      </c>
      <c r="B5" s="1346"/>
      <c r="C5" s="1346"/>
      <c r="D5" s="1346"/>
      <c r="E5" s="1346"/>
      <c r="F5" s="1346"/>
      <c r="G5" s="1346"/>
      <c r="H5" s="1346"/>
    </row>
    <row r="6" spans="1:8" ht="14.25" x14ac:dyDescent="0.2">
      <c r="A6" s="1347" t="s">
        <v>55</v>
      </c>
      <c r="B6" s="1347"/>
      <c r="C6" s="1347"/>
      <c r="D6" s="1347"/>
      <c r="E6" s="1347"/>
      <c r="F6" s="1347"/>
      <c r="G6" s="1347"/>
      <c r="H6" s="1347"/>
    </row>
    <row r="7" spans="1:8" ht="15" x14ac:dyDescent="0.25">
      <c r="A7" s="1079"/>
      <c r="B7" s="1080"/>
      <c r="C7" s="1080"/>
      <c r="D7" s="1080"/>
      <c r="E7" s="1080"/>
      <c r="F7" s="828"/>
      <c r="G7" s="828"/>
      <c r="H7" s="828"/>
    </row>
    <row r="8" spans="1:8" ht="14.25" customHeight="1" x14ac:dyDescent="0.2">
      <c r="A8" s="1355"/>
      <c r="B8" s="1081" t="s">
        <v>57</v>
      </c>
      <c r="C8" s="1081" t="s">
        <v>58</v>
      </c>
      <c r="D8" s="1081" t="s">
        <v>59</v>
      </c>
      <c r="E8" s="1081" t="s">
        <v>60</v>
      </c>
      <c r="F8" s="1082" t="s">
        <v>499</v>
      </c>
      <c r="G8" s="1082" t="s">
        <v>500</v>
      </c>
      <c r="H8" s="1082" t="s">
        <v>501</v>
      </c>
    </row>
    <row r="9" spans="1:8" ht="14.25" customHeight="1" x14ac:dyDescent="0.2">
      <c r="A9" s="1355"/>
      <c r="B9" s="1356" t="s">
        <v>340</v>
      </c>
      <c r="C9" s="1357" t="s">
        <v>341</v>
      </c>
      <c r="D9" s="1357" t="s">
        <v>342</v>
      </c>
      <c r="E9" s="1083"/>
      <c r="F9" s="1084"/>
      <c r="G9" s="1085"/>
      <c r="H9" s="1085"/>
    </row>
    <row r="10" spans="1:8" ht="14.25" customHeight="1" x14ac:dyDescent="0.2">
      <c r="A10" s="1355"/>
      <c r="B10" s="1356"/>
      <c r="C10" s="1357"/>
      <c r="D10" s="1357"/>
      <c r="E10" s="1086" t="s">
        <v>759</v>
      </c>
      <c r="F10" s="1087" t="s">
        <v>987</v>
      </c>
      <c r="G10" s="1088" t="s">
        <v>1206</v>
      </c>
      <c r="H10" s="1088" t="s">
        <v>1207</v>
      </c>
    </row>
    <row r="11" spans="1:8" ht="15" x14ac:dyDescent="0.25">
      <c r="A11" s="413"/>
      <c r="B11" s="449" t="s">
        <v>348</v>
      </c>
      <c r="C11" s="450"/>
      <c r="D11" s="450"/>
      <c r="E11" s="828"/>
      <c r="F11" s="828"/>
      <c r="G11" s="828"/>
      <c r="H11" s="828"/>
    </row>
    <row r="12" spans="1:8" ht="15" x14ac:dyDescent="0.25">
      <c r="A12" s="1089">
        <v>1</v>
      </c>
      <c r="B12" s="1090" t="s">
        <v>352</v>
      </c>
      <c r="C12" s="1091" t="s">
        <v>351</v>
      </c>
      <c r="D12" s="1092" t="s">
        <v>354</v>
      </c>
      <c r="E12" s="1093">
        <v>300</v>
      </c>
      <c r="F12" s="1093">
        <v>300</v>
      </c>
      <c r="G12" s="1093">
        <v>300</v>
      </c>
      <c r="H12" s="1093">
        <v>300</v>
      </c>
    </row>
    <row r="13" spans="1:8" ht="15" x14ac:dyDescent="0.25">
      <c r="A13" s="1089">
        <v>2</v>
      </c>
      <c r="B13" s="1094" t="s">
        <v>355</v>
      </c>
      <c r="C13" s="1095" t="s">
        <v>356</v>
      </c>
      <c r="D13" s="1092" t="s">
        <v>354</v>
      </c>
      <c r="E13" s="1096">
        <v>100</v>
      </c>
      <c r="F13" s="1096">
        <v>100</v>
      </c>
      <c r="G13" s="1096">
        <v>100</v>
      </c>
      <c r="H13" s="1096">
        <v>100</v>
      </c>
    </row>
    <row r="14" spans="1:8" ht="15" x14ac:dyDescent="0.25">
      <c r="A14" s="1089">
        <v>3</v>
      </c>
      <c r="B14" s="1094" t="s">
        <v>359</v>
      </c>
      <c r="C14" s="1095" t="s">
        <v>760</v>
      </c>
      <c r="D14" s="1092" t="s">
        <v>354</v>
      </c>
      <c r="E14" s="1096">
        <v>24241</v>
      </c>
      <c r="F14" s="1096">
        <v>24241</v>
      </c>
      <c r="G14" s="1096">
        <v>24241</v>
      </c>
      <c r="H14" s="1096">
        <v>24241</v>
      </c>
    </row>
    <row r="15" spans="1:8" ht="15" x14ac:dyDescent="0.25">
      <c r="A15" s="1089">
        <v>4</v>
      </c>
      <c r="B15" s="1094" t="s">
        <v>359</v>
      </c>
      <c r="C15" s="1095" t="s">
        <v>761</v>
      </c>
      <c r="D15" s="1092" t="s">
        <v>354</v>
      </c>
      <c r="E15" s="1096">
        <v>27321</v>
      </c>
      <c r="F15" s="1096">
        <v>27321</v>
      </c>
      <c r="G15" s="1096">
        <v>27321</v>
      </c>
      <c r="H15" s="1096">
        <v>27321</v>
      </c>
    </row>
    <row r="16" spans="1:8" ht="15" x14ac:dyDescent="0.25">
      <c r="A16" s="1089">
        <v>5</v>
      </c>
      <c r="B16" s="1094" t="s">
        <v>367</v>
      </c>
      <c r="C16" s="1095" t="s">
        <v>368</v>
      </c>
      <c r="D16" s="1092" t="s">
        <v>354</v>
      </c>
      <c r="E16" s="1096">
        <v>10</v>
      </c>
      <c r="F16" s="1096">
        <v>10</v>
      </c>
      <c r="G16" s="1096">
        <v>10</v>
      </c>
      <c r="H16" s="1096">
        <v>10</v>
      </c>
    </row>
    <row r="17" spans="1:19" ht="15" x14ac:dyDescent="0.25">
      <c r="A17" s="1089">
        <v>6</v>
      </c>
      <c r="B17" s="1094" t="s">
        <v>762</v>
      </c>
      <c r="C17" s="1095" t="s">
        <v>763</v>
      </c>
      <c r="D17" s="1097" t="s">
        <v>354</v>
      </c>
      <c r="E17" s="1096">
        <v>62</v>
      </c>
      <c r="F17" s="1096">
        <v>62</v>
      </c>
      <c r="G17" s="1096">
        <v>62</v>
      </c>
      <c r="H17" s="1096">
        <v>62</v>
      </c>
    </row>
    <row r="18" spans="1:19" ht="15" x14ac:dyDescent="0.25">
      <c r="A18" s="1089">
        <v>7</v>
      </c>
      <c r="B18" s="1094" t="s">
        <v>764</v>
      </c>
      <c r="C18" s="1095" t="s">
        <v>765</v>
      </c>
      <c r="D18" s="1097" t="s">
        <v>354</v>
      </c>
      <c r="E18" s="1096">
        <v>900</v>
      </c>
      <c r="F18" s="1096">
        <v>900</v>
      </c>
      <c r="G18" s="1096">
        <v>900</v>
      </c>
      <c r="H18" s="1096">
        <v>900</v>
      </c>
    </row>
    <row r="19" spans="1:19" ht="15" x14ac:dyDescent="0.25">
      <c r="A19" s="1089">
        <v>8</v>
      </c>
      <c r="B19" s="1094" t="s">
        <v>766</v>
      </c>
      <c r="C19" s="1095" t="s">
        <v>767</v>
      </c>
      <c r="D19" s="1097" t="s">
        <v>354</v>
      </c>
      <c r="E19" s="1096">
        <v>1190</v>
      </c>
      <c r="F19" s="1096">
        <v>1190</v>
      </c>
      <c r="G19" s="1096">
        <v>1190</v>
      </c>
      <c r="H19" s="1096">
        <v>1190</v>
      </c>
    </row>
    <row r="20" spans="1:19" ht="15" x14ac:dyDescent="0.25">
      <c r="A20" s="1089">
        <v>9</v>
      </c>
      <c r="B20" s="1094" t="s">
        <v>379</v>
      </c>
      <c r="C20" s="1095" t="s">
        <v>768</v>
      </c>
      <c r="D20" s="1097" t="s">
        <v>354</v>
      </c>
      <c r="E20" s="1096">
        <v>1600</v>
      </c>
      <c r="F20" s="1096">
        <v>1600</v>
      </c>
      <c r="G20" s="1096">
        <v>1600</v>
      </c>
      <c r="H20" s="1096">
        <v>1600</v>
      </c>
    </row>
    <row r="21" spans="1:19" ht="31.5" customHeight="1" x14ac:dyDescent="0.25">
      <c r="A21" s="1089">
        <v>10</v>
      </c>
      <c r="B21" s="1098" t="s">
        <v>769</v>
      </c>
      <c r="C21" s="1099" t="s">
        <v>770</v>
      </c>
      <c r="D21" s="1100" t="s">
        <v>354</v>
      </c>
      <c r="E21" s="1101">
        <v>35</v>
      </c>
      <c r="F21" s="1101">
        <v>35</v>
      </c>
      <c r="G21" s="1101">
        <v>35</v>
      </c>
      <c r="H21" s="1101">
        <v>35</v>
      </c>
    </row>
    <row r="22" spans="1:19" ht="15" x14ac:dyDescent="0.25">
      <c r="A22" s="1089">
        <f>A21+1</f>
        <v>11</v>
      </c>
      <c r="B22" s="1095"/>
      <c r="C22" s="1095" t="s">
        <v>771</v>
      </c>
      <c r="D22" s="1092"/>
      <c r="E22" s="1096">
        <v>1844</v>
      </c>
      <c r="F22" s="1096">
        <v>1844</v>
      </c>
      <c r="G22" s="1096">
        <v>1844</v>
      </c>
      <c r="H22" s="1096">
        <v>1844</v>
      </c>
    </row>
    <row r="23" spans="1:19" ht="15" x14ac:dyDescent="0.25">
      <c r="A23" s="1089">
        <v>12</v>
      </c>
      <c r="B23" s="1094" t="s">
        <v>1011</v>
      </c>
      <c r="C23" s="1095" t="s">
        <v>1008</v>
      </c>
      <c r="D23" s="1092" t="s">
        <v>354</v>
      </c>
      <c r="E23" s="1096">
        <v>900</v>
      </c>
      <c r="F23" s="1096">
        <v>900</v>
      </c>
      <c r="G23" s="1096">
        <v>900</v>
      </c>
      <c r="H23" s="1096">
        <v>900</v>
      </c>
    </row>
    <row r="24" spans="1:19" ht="31.5" customHeight="1" x14ac:dyDescent="0.25">
      <c r="A24" s="1089">
        <f t="shared" ref="A24:A68" si="0">A23+1</f>
        <v>13</v>
      </c>
      <c r="B24" s="695" t="s">
        <v>403</v>
      </c>
      <c r="C24" s="1102" t="s">
        <v>404</v>
      </c>
      <c r="D24" s="1103" t="s">
        <v>354</v>
      </c>
      <c r="E24" s="1104">
        <v>40</v>
      </c>
      <c r="F24" s="1104">
        <v>40</v>
      </c>
      <c r="G24" s="1104">
        <v>40</v>
      </c>
      <c r="H24" s="1104">
        <v>40</v>
      </c>
    </row>
    <row r="25" spans="1:19" ht="30" customHeight="1" x14ac:dyDescent="0.25">
      <c r="A25" s="1089">
        <f t="shared" si="0"/>
        <v>14</v>
      </c>
      <c r="B25" s="695" t="s">
        <v>407</v>
      </c>
      <c r="C25" s="1102" t="s">
        <v>772</v>
      </c>
      <c r="D25" s="1103" t="s">
        <v>354</v>
      </c>
      <c r="E25" s="1105">
        <v>210</v>
      </c>
      <c r="F25" s="1105">
        <v>210</v>
      </c>
      <c r="G25" s="1105">
        <v>210</v>
      </c>
      <c r="H25" s="1105">
        <v>210</v>
      </c>
    </row>
    <row r="26" spans="1:19" ht="27" customHeight="1" x14ac:dyDescent="0.25">
      <c r="A26" s="1089">
        <f t="shared" si="0"/>
        <v>15</v>
      </c>
      <c r="B26" s="1098" t="s">
        <v>409</v>
      </c>
      <c r="C26" s="1099" t="s">
        <v>773</v>
      </c>
      <c r="D26" s="1100" t="s">
        <v>354</v>
      </c>
      <c r="E26" s="1101">
        <v>199</v>
      </c>
      <c r="F26" s="1101">
        <v>199</v>
      </c>
      <c r="G26" s="1101">
        <v>199</v>
      </c>
      <c r="H26" s="1101">
        <v>199</v>
      </c>
    </row>
    <row r="27" spans="1:19" ht="26.25" customHeight="1" x14ac:dyDescent="0.25">
      <c r="A27" s="1089">
        <f t="shared" si="0"/>
        <v>16</v>
      </c>
      <c r="B27" s="1098" t="s">
        <v>411</v>
      </c>
      <c r="C27" s="1099" t="s">
        <v>412</v>
      </c>
      <c r="D27" s="1100" t="s">
        <v>354</v>
      </c>
      <c r="E27" s="1101">
        <v>1863</v>
      </c>
      <c r="F27" s="1101">
        <v>1863</v>
      </c>
      <c r="G27" s="1101">
        <v>1863</v>
      </c>
      <c r="H27" s="1101">
        <v>1863</v>
      </c>
    </row>
    <row r="28" spans="1:19" s="1107" customFormat="1" ht="30" customHeight="1" x14ac:dyDescent="0.25">
      <c r="A28" s="1089">
        <f t="shared" si="0"/>
        <v>17</v>
      </c>
      <c r="B28" s="695" t="s">
        <v>1208</v>
      </c>
      <c r="C28" s="1106" t="s">
        <v>1209</v>
      </c>
      <c r="D28" s="1103" t="s">
        <v>354</v>
      </c>
      <c r="E28" s="698">
        <v>5985</v>
      </c>
      <c r="F28" s="698">
        <v>5985</v>
      </c>
      <c r="G28" s="698">
        <v>5985</v>
      </c>
      <c r="H28" s="698">
        <v>5985</v>
      </c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</row>
    <row r="29" spans="1:19" ht="15" x14ac:dyDescent="0.25">
      <c r="A29" s="1089">
        <f t="shared" si="0"/>
        <v>18</v>
      </c>
      <c r="B29" s="1095" t="s">
        <v>419</v>
      </c>
      <c r="C29" s="1095" t="s">
        <v>774</v>
      </c>
      <c r="D29" s="1092" t="s">
        <v>354</v>
      </c>
      <c r="E29" s="1096">
        <v>36</v>
      </c>
      <c r="F29" s="1096">
        <v>36</v>
      </c>
      <c r="G29" s="1096">
        <v>36</v>
      </c>
      <c r="H29" s="1096">
        <v>36</v>
      </c>
    </row>
    <row r="30" spans="1:19" ht="27" customHeight="1" x14ac:dyDescent="0.25">
      <c r="A30" s="1089">
        <f t="shared" si="0"/>
        <v>19</v>
      </c>
      <c r="B30" s="695"/>
      <c r="C30" s="1106" t="s">
        <v>775</v>
      </c>
      <c r="D30" s="1103" t="s">
        <v>354</v>
      </c>
      <c r="E30" s="1105">
        <v>15</v>
      </c>
      <c r="F30" s="1105">
        <v>15</v>
      </c>
      <c r="G30" s="1105">
        <v>15</v>
      </c>
      <c r="H30" s="1105">
        <v>15</v>
      </c>
    </row>
    <row r="31" spans="1:19" ht="35.25" customHeight="1" x14ac:dyDescent="0.25">
      <c r="A31" s="1089">
        <f t="shared" si="0"/>
        <v>20</v>
      </c>
      <c r="B31" s="695" t="s">
        <v>425</v>
      </c>
      <c r="C31" s="1106" t="s">
        <v>426</v>
      </c>
      <c r="D31" s="1103">
        <v>43497</v>
      </c>
      <c r="E31" s="698">
        <v>3553</v>
      </c>
      <c r="F31" s="698">
        <v>3553</v>
      </c>
      <c r="G31" s="698">
        <v>3553</v>
      </c>
      <c r="H31" s="698">
        <v>3553</v>
      </c>
    </row>
    <row r="32" spans="1:19" ht="30.75" customHeight="1" x14ac:dyDescent="0.25">
      <c r="A32" s="1089">
        <f t="shared" si="0"/>
        <v>21</v>
      </c>
      <c r="B32" s="695" t="s">
        <v>776</v>
      </c>
      <c r="C32" s="1106" t="s">
        <v>1210</v>
      </c>
      <c r="D32" s="1103" t="s">
        <v>354</v>
      </c>
      <c r="E32" s="698">
        <v>1920</v>
      </c>
      <c r="F32" s="698">
        <v>1920</v>
      </c>
      <c r="G32" s="698">
        <v>1920</v>
      </c>
      <c r="H32" s="698">
        <v>1920</v>
      </c>
    </row>
    <row r="33" spans="1:19" s="1107" customFormat="1" ht="27.75" customHeight="1" x14ac:dyDescent="0.25">
      <c r="A33" s="1089">
        <f t="shared" si="0"/>
        <v>22</v>
      </c>
      <c r="B33" s="695" t="s">
        <v>776</v>
      </c>
      <c r="C33" s="1106" t="s">
        <v>1211</v>
      </c>
      <c r="D33" s="1103" t="s">
        <v>354</v>
      </c>
      <c r="E33" s="698">
        <v>1800</v>
      </c>
      <c r="F33" s="698">
        <v>1800</v>
      </c>
      <c r="G33" s="698">
        <v>1800</v>
      </c>
      <c r="H33" s="698">
        <v>1800</v>
      </c>
      <c r="I33" s="699"/>
      <c r="J33" s="699"/>
      <c r="K33" s="699"/>
      <c r="L33" s="699"/>
      <c r="M33" s="699"/>
      <c r="N33" s="699"/>
      <c r="O33" s="699"/>
      <c r="P33" s="699"/>
      <c r="Q33" s="699"/>
      <c r="R33" s="699"/>
      <c r="S33" s="699"/>
    </row>
    <row r="34" spans="1:19" ht="27.75" customHeight="1" x14ac:dyDescent="0.25">
      <c r="A34" s="1089">
        <f t="shared" si="0"/>
        <v>23</v>
      </c>
      <c r="B34" s="695" t="s">
        <v>777</v>
      </c>
      <c r="C34" s="1106" t="s">
        <v>778</v>
      </c>
      <c r="D34" s="1103" t="s">
        <v>354</v>
      </c>
      <c r="E34" s="698">
        <v>30</v>
      </c>
      <c r="F34" s="698">
        <v>30</v>
      </c>
      <c r="G34" s="698">
        <v>30</v>
      </c>
      <c r="H34" s="698">
        <v>30</v>
      </c>
    </row>
    <row r="35" spans="1:19" ht="21.75" customHeight="1" x14ac:dyDescent="0.25">
      <c r="A35" s="1089">
        <f t="shared" si="0"/>
        <v>24</v>
      </c>
      <c r="B35" s="695" t="s">
        <v>779</v>
      </c>
      <c r="C35" s="1106" t="s">
        <v>780</v>
      </c>
      <c r="D35" s="1103">
        <v>44196</v>
      </c>
      <c r="E35" s="698">
        <v>153</v>
      </c>
      <c r="F35" s="698">
        <v>153</v>
      </c>
      <c r="G35" s="698">
        <v>153</v>
      </c>
      <c r="H35" s="698">
        <v>153</v>
      </c>
    </row>
    <row r="36" spans="1:19" ht="24.75" customHeight="1" x14ac:dyDescent="0.25">
      <c r="A36" s="1089">
        <f t="shared" si="0"/>
        <v>25</v>
      </c>
      <c r="B36" s="695" t="s">
        <v>781</v>
      </c>
      <c r="C36" s="1106" t="s">
        <v>782</v>
      </c>
      <c r="D36" s="1103" t="s">
        <v>354</v>
      </c>
      <c r="E36" s="698">
        <v>457</v>
      </c>
      <c r="F36" s="698">
        <v>457</v>
      </c>
      <c r="G36" s="698">
        <v>457</v>
      </c>
      <c r="H36" s="698">
        <v>457</v>
      </c>
    </row>
    <row r="37" spans="1:19" ht="28.5" customHeight="1" x14ac:dyDescent="0.25">
      <c r="A37" s="1089">
        <f t="shared" si="0"/>
        <v>26</v>
      </c>
      <c r="B37" s="695" t="s">
        <v>783</v>
      </c>
      <c r="C37" s="1106" t="s">
        <v>986</v>
      </c>
      <c r="D37" s="1103" t="s">
        <v>354</v>
      </c>
      <c r="E37" s="698">
        <v>198</v>
      </c>
      <c r="F37" s="698">
        <v>198</v>
      </c>
      <c r="G37" s="698">
        <v>198</v>
      </c>
      <c r="H37" s="698">
        <v>198</v>
      </c>
    </row>
    <row r="38" spans="1:19" ht="36" customHeight="1" x14ac:dyDescent="0.25">
      <c r="A38" s="1089">
        <f t="shared" si="0"/>
        <v>27</v>
      </c>
      <c r="B38" s="695" t="s">
        <v>784</v>
      </c>
      <c r="C38" s="1106" t="s">
        <v>785</v>
      </c>
      <c r="D38" s="1103" t="s">
        <v>354</v>
      </c>
      <c r="E38" s="698">
        <v>217</v>
      </c>
      <c r="F38" s="698">
        <v>217</v>
      </c>
      <c r="G38" s="698">
        <v>217</v>
      </c>
      <c r="H38" s="698">
        <v>217</v>
      </c>
    </row>
    <row r="39" spans="1:19" ht="26.25" customHeight="1" x14ac:dyDescent="0.25">
      <c r="A39" s="1089">
        <f t="shared" si="0"/>
        <v>28</v>
      </c>
      <c r="B39" s="695" t="s">
        <v>131</v>
      </c>
      <c r="C39" s="1106" t="s">
        <v>786</v>
      </c>
      <c r="D39" s="1103" t="s">
        <v>354</v>
      </c>
      <c r="E39" s="698">
        <v>1200</v>
      </c>
      <c r="F39" s="698">
        <v>1200</v>
      </c>
      <c r="G39" s="698">
        <v>1200</v>
      </c>
      <c r="H39" s="698">
        <v>1200</v>
      </c>
    </row>
    <row r="40" spans="1:19" ht="30.75" customHeight="1" x14ac:dyDescent="0.25">
      <c r="A40" s="1089">
        <f t="shared" si="0"/>
        <v>29</v>
      </c>
      <c r="B40" s="695" t="s">
        <v>787</v>
      </c>
      <c r="C40" s="1106" t="s">
        <v>788</v>
      </c>
      <c r="D40" s="1103">
        <v>43709</v>
      </c>
      <c r="E40" s="698">
        <v>2439</v>
      </c>
      <c r="F40" s="698">
        <v>2439</v>
      </c>
      <c r="G40" s="698">
        <v>2439</v>
      </c>
      <c r="H40" s="698">
        <v>2439</v>
      </c>
    </row>
    <row r="41" spans="1:19" ht="36" customHeight="1" x14ac:dyDescent="0.25">
      <c r="A41" s="1089">
        <f t="shared" si="0"/>
        <v>30</v>
      </c>
      <c r="B41" s="1108" t="s">
        <v>789</v>
      </c>
      <c r="C41" s="1106" t="s">
        <v>790</v>
      </c>
      <c r="D41" s="1103" t="s">
        <v>354</v>
      </c>
      <c r="E41" s="697">
        <v>508</v>
      </c>
      <c r="F41" s="697">
        <v>508</v>
      </c>
      <c r="G41" s="697">
        <v>508</v>
      </c>
      <c r="H41" s="697">
        <v>508</v>
      </c>
    </row>
    <row r="42" spans="1:19" ht="30" customHeight="1" x14ac:dyDescent="0.25">
      <c r="A42" s="1089">
        <f t="shared" si="0"/>
        <v>31</v>
      </c>
      <c r="B42" s="1108"/>
      <c r="C42" s="1106" t="s">
        <v>791</v>
      </c>
      <c r="D42" s="1103" t="s">
        <v>354</v>
      </c>
      <c r="E42" s="697">
        <v>230</v>
      </c>
      <c r="F42" s="697">
        <v>230</v>
      </c>
      <c r="G42" s="697">
        <v>230</v>
      </c>
      <c r="H42" s="697">
        <v>230</v>
      </c>
    </row>
    <row r="43" spans="1:19" ht="15" x14ac:dyDescent="0.25">
      <c r="A43" s="1089">
        <v>32</v>
      </c>
      <c r="B43" s="695" t="s">
        <v>1212</v>
      </c>
      <c r="C43" s="695" t="s">
        <v>792</v>
      </c>
      <c r="D43" s="1103">
        <v>43251</v>
      </c>
      <c r="E43" s="697">
        <v>302</v>
      </c>
      <c r="F43" s="697">
        <v>302</v>
      </c>
      <c r="G43" s="697">
        <v>302</v>
      </c>
      <c r="H43" s="697">
        <v>302</v>
      </c>
    </row>
    <row r="44" spans="1:19" ht="15" x14ac:dyDescent="0.25">
      <c r="A44" s="1089">
        <v>33</v>
      </c>
      <c r="B44" s="695" t="s">
        <v>793</v>
      </c>
      <c r="C44" s="695" t="s">
        <v>794</v>
      </c>
      <c r="D44" s="1103" t="s">
        <v>1213</v>
      </c>
      <c r="E44" s="697">
        <v>10672</v>
      </c>
      <c r="F44" s="697">
        <v>10672</v>
      </c>
      <c r="G44" s="697">
        <v>10672</v>
      </c>
      <c r="H44" s="697"/>
    </row>
    <row r="45" spans="1:19" ht="15" x14ac:dyDescent="0.25">
      <c r="A45" s="1089">
        <f t="shared" si="0"/>
        <v>34</v>
      </c>
      <c r="B45" s="695" t="s">
        <v>795</v>
      </c>
      <c r="C45" s="695" t="s">
        <v>796</v>
      </c>
      <c r="D45" s="1103" t="s">
        <v>354</v>
      </c>
      <c r="E45" s="697">
        <v>5760</v>
      </c>
      <c r="F45" s="697">
        <v>5760</v>
      </c>
      <c r="G45" s="697">
        <v>5760</v>
      </c>
      <c r="H45" s="697">
        <v>5760</v>
      </c>
    </row>
    <row r="46" spans="1:19" ht="15" x14ac:dyDescent="0.25">
      <c r="A46" s="1089">
        <f t="shared" si="0"/>
        <v>35</v>
      </c>
      <c r="B46" s="695" t="s">
        <v>797</v>
      </c>
      <c r="C46" s="695" t="s">
        <v>798</v>
      </c>
      <c r="D46" s="1103" t="s">
        <v>354</v>
      </c>
      <c r="E46" s="697">
        <v>3658</v>
      </c>
      <c r="F46" s="697">
        <v>3658</v>
      </c>
      <c r="G46" s="697">
        <v>3658</v>
      </c>
      <c r="H46" s="697">
        <v>3658</v>
      </c>
    </row>
    <row r="47" spans="1:19" ht="15" x14ac:dyDescent="0.25">
      <c r="A47" s="1089">
        <f t="shared" si="0"/>
        <v>36</v>
      </c>
      <c r="B47" s="695" t="s">
        <v>119</v>
      </c>
      <c r="C47" s="695" t="s">
        <v>800</v>
      </c>
      <c r="D47" s="1103" t="s">
        <v>354</v>
      </c>
      <c r="E47" s="697">
        <v>242</v>
      </c>
      <c r="F47" s="697">
        <v>242</v>
      </c>
      <c r="G47" s="697">
        <v>242</v>
      </c>
      <c r="H47" s="697">
        <v>242</v>
      </c>
    </row>
    <row r="48" spans="1:19" ht="15" x14ac:dyDescent="0.25">
      <c r="A48" s="1089">
        <f t="shared" si="0"/>
        <v>37</v>
      </c>
      <c r="B48" s="695" t="s">
        <v>801</v>
      </c>
      <c r="C48" s="695" t="s">
        <v>802</v>
      </c>
      <c r="D48" s="1103" t="s">
        <v>354</v>
      </c>
      <c r="E48" s="697">
        <v>993</v>
      </c>
      <c r="F48" s="697">
        <v>993</v>
      </c>
      <c r="G48" s="697">
        <v>993</v>
      </c>
      <c r="H48" s="697">
        <v>993</v>
      </c>
    </row>
    <row r="49" spans="1:11" ht="30" x14ac:dyDescent="0.25">
      <c r="A49" s="1089">
        <f t="shared" si="0"/>
        <v>38</v>
      </c>
      <c r="B49" s="1108" t="s">
        <v>803</v>
      </c>
      <c r="C49" s="1106" t="s">
        <v>804</v>
      </c>
      <c r="D49" s="1103" t="s">
        <v>354</v>
      </c>
      <c r="E49" s="697">
        <v>38</v>
      </c>
      <c r="F49" s="697">
        <v>38</v>
      </c>
      <c r="G49" s="697">
        <v>38</v>
      </c>
      <c r="H49" s="697">
        <v>38</v>
      </c>
    </row>
    <row r="50" spans="1:11" ht="15" customHeight="1" x14ac:dyDescent="0.25">
      <c r="A50" s="1089">
        <f t="shared" si="0"/>
        <v>39</v>
      </c>
      <c r="B50" s="695"/>
      <c r="C50" s="695" t="s">
        <v>805</v>
      </c>
      <c r="D50" s="1103" t="s">
        <v>354</v>
      </c>
      <c r="E50" s="697">
        <v>45</v>
      </c>
      <c r="F50" s="697">
        <v>45</v>
      </c>
      <c r="G50" s="697">
        <v>45</v>
      </c>
      <c r="H50" s="697">
        <v>45</v>
      </c>
    </row>
    <row r="51" spans="1:11" ht="15" x14ac:dyDescent="0.25">
      <c r="A51" s="1089">
        <f t="shared" si="0"/>
        <v>40</v>
      </c>
      <c r="B51" s="695" t="s">
        <v>1214</v>
      </c>
      <c r="C51" s="695" t="s">
        <v>806</v>
      </c>
      <c r="D51" s="1103">
        <v>43190</v>
      </c>
      <c r="E51" s="697">
        <v>610</v>
      </c>
      <c r="F51" s="697">
        <v>610</v>
      </c>
      <c r="G51" s="697">
        <v>610</v>
      </c>
      <c r="H51" s="697">
        <v>610</v>
      </c>
    </row>
    <row r="52" spans="1:11" ht="15" x14ac:dyDescent="0.25">
      <c r="A52" s="1089">
        <f t="shared" si="0"/>
        <v>41</v>
      </c>
      <c r="B52" s="695" t="s">
        <v>1215</v>
      </c>
      <c r="C52" s="695" t="s">
        <v>807</v>
      </c>
      <c r="D52" s="1103">
        <v>43190</v>
      </c>
      <c r="E52" s="697">
        <v>610</v>
      </c>
      <c r="F52" s="697">
        <v>610</v>
      </c>
      <c r="G52" s="697">
        <v>610</v>
      </c>
      <c r="H52" s="697">
        <v>610</v>
      </c>
    </row>
    <row r="53" spans="1:11" ht="15" x14ac:dyDescent="0.25">
      <c r="A53" s="1089">
        <f t="shared" si="0"/>
        <v>42</v>
      </c>
      <c r="B53" s="695" t="s">
        <v>808</v>
      </c>
      <c r="C53" s="695" t="s">
        <v>809</v>
      </c>
      <c r="D53" s="1103">
        <v>42825</v>
      </c>
      <c r="E53" s="697">
        <v>210</v>
      </c>
      <c r="F53" s="697">
        <v>210</v>
      </c>
      <c r="G53" s="697">
        <v>210</v>
      </c>
      <c r="H53" s="697">
        <v>210</v>
      </c>
    </row>
    <row r="54" spans="1:11" ht="15" x14ac:dyDescent="0.25">
      <c r="A54" s="1089">
        <f t="shared" si="0"/>
        <v>43</v>
      </c>
      <c r="B54" s="695" t="s">
        <v>810</v>
      </c>
      <c r="C54" s="695" t="s">
        <v>811</v>
      </c>
      <c r="D54" s="1103">
        <v>42855</v>
      </c>
      <c r="E54" s="697">
        <v>972</v>
      </c>
      <c r="F54" s="697">
        <v>972</v>
      </c>
      <c r="G54" s="697">
        <v>972</v>
      </c>
      <c r="H54" s="697">
        <v>972</v>
      </c>
    </row>
    <row r="55" spans="1:11" ht="15" x14ac:dyDescent="0.25">
      <c r="A55" s="1089">
        <f t="shared" si="0"/>
        <v>44</v>
      </c>
      <c r="B55" s="695" t="s">
        <v>799</v>
      </c>
      <c r="C55" s="695" t="s">
        <v>812</v>
      </c>
      <c r="D55" s="1103" t="s">
        <v>354</v>
      </c>
      <c r="E55" s="697">
        <v>486</v>
      </c>
      <c r="F55" s="697">
        <v>486</v>
      </c>
      <c r="G55" s="697">
        <v>486</v>
      </c>
      <c r="H55" s="697">
        <v>486</v>
      </c>
    </row>
    <row r="56" spans="1:11" ht="15.75" x14ac:dyDescent="0.25">
      <c r="A56" s="1089">
        <v>45</v>
      </c>
      <c r="B56" s="1109"/>
      <c r="C56" s="695" t="s">
        <v>813</v>
      </c>
      <c r="D56" s="1110" t="s">
        <v>354</v>
      </c>
      <c r="E56" s="697">
        <v>175</v>
      </c>
      <c r="F56" s="697">
        <v>175</v>
      </c>
      <c r="G56" s="697">
        <v>175</v>
      </c>
      <c r="H56" s="697">
        <v>175</v>
      </c>
    </row>
    <row r="57" spans="1:11" ht="15.75" x14ac:dyDescent="0.25">
      <c r="A57" s="1089">
        <f t="shared" si="0"/>
        <v>46</v>
      </c>
      <c r="B57" s="1109"/>
      <c r="C57" s="695" t="s">
        <v>814</v>
      </c>
      <c r="D57" s="1110" t="s">
        <v>354</v>
      </c>
      <c r="E57" s="697">
        <v>55</v>
      </c>
      <c r="F57" s="697">
        <v>55</v>
      </c>
      <c r="G57" s="697">
        <v>55</v>
      </c>
      <c r="H57" s="697">
        <v>55</v>
      </c>
    </row>
    <row r="58" spans="1:11" ht="15" x14ac:dyDescent="0.25">
      <c r="A58" s="1089">
        <f t="shared" si="0"/>
        <v>47</v>
      </c>
      <c r="B58" s="1109"/>
      <c r="C58" s="695" t="s">
        <v>815</v>
      </c>
      <c r="D58" s="1111">
        <v>45291</v>
      </c>
      <c r="E58" s="697">
        <v>19500</v>
      </c>
      <c r="F58" s="697">
        <v>19500</v>
      </c>
      <c r="G58" s="697">
        <v>19500</v>
      </c>
      <c r="H58" s="697">
        <v>19500</v>
      </c>
    </row>
    <row r="59" spans="1:11" ht="15.75" x14ac:dyDescent="0.25">
      <c r="A59" s="1089">
        <f t="shared" si="0"/>
        <v>48</v>
      </c>
      <c r="B59" s="1109"/>
      <c r="C59" s="695" t="s">
        <v>816</v>
      </c>
      <c r="D59" s="1110" t="s">
        <v>354</v>
      </c>
      <c r="E59" s="697">
        <v>37</v>
      </c>
      <c r="F59" s="697">
        <v>37</v>
      </c>
      <c r="G59" s="697">
        <v>37</v>
      </c>
      <c r="H59" s="697">
        <v>37</v>
      </c>
    </row>
    <row r="60" spans="1:11" ht="15.75" x14ac:dyDescent="0.25">
      <c r="A60" s="1089">
        <f t="shared" si="0"/>
        <v>49</v>
      </c>
      <c r="B60" s="1109"/>
      <c r="C60" s="695" t="s">
        <v>817</v>
      </c>
      <c r="D60" s="1110" t="s">
        <v>354</v>
      </c>
      <c r="E60" s="697">
        <v>53</v>
      </c>
      <c r="F60" s="697">
        <v>53</v>
      </c>
      <c r="G60" s="697">
        <v>53</v>
      </c>
      <c r="H60" s="697">
        <v>53</v>
      </c>
      <c r="K60" s="697"/>
    </row>
    <row r="61" spans="1:11" ht="15.75" x14ac:dyDescent="0.25">
      <c r="A61" s="1089">
        <f t="shared" si="0"/>
        <v>50</v>
      </c>
      <c r="B61" s="1109"/>
      <c r="C61" s="695" t="s">
        <v>818</v>
      </c>
      <c r="D61" s="1110" t="s">
        <v>354</v>
      </c>
      <c r="E61" s="697">
        <v>104</v>
      </c>
      <c r="F61" s="697">
        <v>104</v>
      </c>
      <c r="G61" s="697">
        <v>104</v>
      </c>
      <c r="H61" s="697">
        <v>104</v>
      </c>
    </row>
    <row r="62" spans="1:11" ht="15.75" x14ac:dyDescent="0.25">
      <c r="A62" s="1089">
        <f t="shared" si="0"/>
        <v>51</v>
      </c>
      <c r="B62" s="1109"/>
      <c r="C62" s="695" t="s">
        <v>819</v>
      </c>
      <c r="D62" s="1110" t="s">
        <v>354</v>
      </c>
      <c r="E62" s="697">
        <v>192</v>
      </c>
      <c r="F62" s="697">
        <v>192</v>
      </c>
      <c r="G62" s="697">
        <v>192</v>
      </c>
      <c r="H62" s="697">
        <v>192</v>
      </c>
    </row>
    <row r="63" spans="1:11" ht="15.75" x14ac:dyDescent="0.25">
      <c r="A63" s="1089">
        <f t="shared" si="0"/>
        <v>52</v>
      </c>
      <c r="B63" s="1109"/>
      <c r="C63" s="695" t="s">
        <v>820</v>
      </c>
      <c r="D63" s="1110" t="s">
        <v>354</v>
      </c>
      <c r="E63" s="697">
        <v>134</v>
      </c>
      <c r="F63" s="697">
        <v>134</v>
      </c>
      <c r="G63" s="697">
        <v>134</v>
      </c>
      <c r="H63" s="697">
        <v>134</v>
      </c>
    </row>
    <row r="64" spans="1:11" ht="15.75" x14ac:dyDescent="0.25">
      <c r="A64" s="1089">
        <f t="shared" si="0"/>
        <v>53</v>
      </c>
      <c r="B64" s="1109"/>
      <c r="C64" s="695" t="s">
        <v>821</v>
      </c>
      <c r="D64" s="1110" t="s">
        <v>354</v>
      </c>
      <c r="E64" s="697">
        <v>159</v>
      </c>
      <c r="F64" s="697">
        <v>159</v>
      </c>
      <c r="G64" s="697">
        <v>159</v>
      </c>
      <c r="H64" s="697">
        <v>159</v>
      </c>
    </row>
    <row r="65" spans="1:11" ht="15" x14ac:dyDescent="0.25">
      <c r="A65" s="1089">
        <f t="shared" si="0"/>
        <v>54</v>
      </c>
      <c r="B65" s="1112">
        <v>68360</v>
      </c>
      <c r="C65" s="695" t="s">
        <v>988</v>
      </c>
      <c r="D65" s="1113" t="s">
        <v>354</v>
      </c>
      <c r="E65" s="697">
        <v>1844</v>
      </c>
      <c r="F65" s="697">
        <v>1844</v>
      </c>
      <c r="G65" s="697">
        <v>1844</v>
      </c>
      <c r="H65" s="697">
        <v>1844</v>
      </c>
    </row>
    <row r="66" spans="1:11" ht="15" x14ac:dyDescent="0.25">
      <c r="A66" s="1089">
        <f t="shared" si="0"/>
        <v>55</v>
      </c>
      <c r="B66" s="1114" t="s">
        <v>931</v>
      </c>
      <c r="C66" s="695" t="s">
        <v>932</v>
      </c>
      <c r="D66" s="1111">
        <v>43465</v>
      </c>
      <c r="E66" s="697">
        <v>21000</v>
      </c>
      <c r="F66" s="697">
        <v>21000</v>
      </c>
      <c r="G66" s="697">
        <v>21000</v>
      </c>
      <c r="H66" s="697">
        <v>21000</v>
      </c>
    </row>
    <row r="67" spans="1:11" ht="15" x14ac:dyDescent="0.25">
      <c r="A67" s="1089">
        <f t="shared" si="0"/>
        <v>56</v>
      </c>
      <c r="B67" s="1114" t="s">
        <v>933</v>
      </c>
      <c r="C67" s="695" t="s">
        <v>934</v>
      </c>
      <c r="D67" s="1113" t="s">
        <v>354</v>
      </c>
      <c r="E67" s="697">
        <v>31000</v>
      </c>
      <c r="F67" s="697">
        <v>31000</v>
      </c>
      <c r="G67" s="697">
        <v>31000</v>
      </c>
      <c r="H67" s="697">
        <v>31000</v>
      </c>
      <c r="I67" s="828"/>
    </row>
    <row r="68" spans="1:11" ht="15" x14ac:dyDescent="0.25">
      <c r="A68" s="1089">
        <f t="shared" si="0"/>
        <v>57</v>
      </c>
      <c r="B68" s="1115"/>
      <c r="C68" s="695" t="s">
        <v>935</v>
      </c>
      <c r="D68" s="1113" t="s">
        <v>354</v>
      </c>
      <c r="E68" s="697">
        <v>732</v>
      </c>
      <c r="F68" s="697">
        <v>732</v>
      </c>
      <c r="G68" s="697">
        <v>732</v>
      </c>
      <c r="H68" s="697">
        <v>732</v>
      </c>
      <c r="I68" s="828"/>
    </row>
    <row r="69" spans="1:11" ht="15" x14ac:dyDescent="0.25">
      <c r="A69" s="1089">
        <v>61</v>
      </c>
      <c r="B69" s="1114" t="s">
        <v>1009</v>
      </c>
      <c r="C69" s="695" t="s">
        <v>1010</v>
      </c>
      <c r="D69" s="1113" t="s">
        <v>354</v>
      </c>
      <c r="E69" s="697">
        <v>3277</v>
      </c>
      <c r="F69" s="697">
        <v>3277</v>
      </c>
      <c r="G69" s="697">
        <v>3277</v>
      </c>
      <c r="H69" s="697">
        <v>3277</v>
      </c>
      <c r="I69" s="828"/>
    </row>
    <row r="70" spans="1:11" ht="30" x14ac:dyDescent="0.25">
      <c r="A70" s="1089">
        <v>62</v>
      </c>
      <c r="B70" s="1114" t="s">
        <v>1216</v>
      </c>
      <c r="C70" s="763" t="s">
        <v>1217</v>
      </c>
      <c r="D70" s="1113" t="s">
        <v>354</v>
      </c>
      <c r="E70" s="697">
        <v>600</v>
      </c>
      <c r="F70" s="697">
        <v>600</v>
      </c>
      <c r="G70" s="697">
        <v>600</v>
      </c>
      <c r="H70" s="697">
        <v>600</v>
      </c>
      <c r="I70" s="828"/>
      <c r="J70" s="828"/>
      <c r="K70" s="828"/>
    </row>
    <row r="71" spans="1:11" ht="15" x14ac:dyDescent="0.25">
      <c r="A71" s="1089">
        <v>63</v>
      </c>
      <c r="B71" s="1114" t="s">
        <v>1218</v>
      </c>
      <c r="C71" s="695" t="s">
        <v>1219</v>
      </c>
      <c r="D71" s="1113" t="s">
        <v>354</v>
      </c>
      <c r="E71" s="697">
        <v>283</v>
      </c>
      <c r="F71" s="697">
        <v>283</v>
      </c>
      <c r="G71" s="697">
        <v>283</v>
      </c>
      <c r="H71" s="697">
        <v>283</v>
      </c>
      <c r="I71" s="1116"/>
      <c r="J71" s="1116"/>
      <c r="K71" s="1116"/>
    </row>
    <row r="72" spans="1:11" ht="15" x14ac:dyDescent="0.25">
      <c r="A72" s="1089">
        <v>64</v>
      </c>
      <c r="B72" s="1114" t="s">
        <v>1220</v>
      </c>
      <c r="C72" s="695" t="s">
        <v>1221</v>
      </c>
      <c r="D72" s="1111">
        <v>46727</v>
      </c>
      <c r="E72" s="697"/>
      <c r="F72" s="697"/>
      <c r="G72" s="697">
        <v>155396</v>
      </c>
      <c r="H72" s="697">
        <v>155396</v>
      </c>
      <c r="I72" s="1116"/>
      <c r="J72" s="1116"/>
      <c r="K72" s="1116"/>
    </row>
    <row r="73" spans="1:11" ht="15" x14ac:dyDescent="0.25">
      <c r="A73" s="1089">
        <v>65</v>
      </c>
      <c r="B73" s="1114" t="s">
        <v>1222</v>
      </c>
      <c r="C73" s="695" t="s">
        <v>1223</v>
      </c>
      <c r="D73" s="1111" t="s">
        <v>354</v>
      </c>
      <c r="E73" s="697">
        <v>3000</v>
      </c>
      <c r="F73" s="697">
        <v>3000</v>
      </c>
      <c r="G73" s="697">
        <v>3000</v>
      </c>
      <c r="H73" s="697">
        <v>3000</v>
      </c>
      <c r="I73" s="1116"/>
      <c r="J73" s="1116"/>
      <c r="K73" s="1116"/>
    </row>
    <row r="74" spans="1:11" ht="15" x14ac:dyDescent="0.25">
      <c r="A74" s="1089">
        <v>66</v>
      </c>
      <c r="B74" s="1114" t="s">
        <v>1224</v>
      </c>
      <c r="C74" s="695" t="s">
        <v>1225</v>
      </c>
      <c r="D74" s="1111">
        <v>44105</v>
      </c>
      <c r="E74" s="697">
        <v>350</v>
      </c>
      <c r="F74" s="697">
        <v>350</v>
      </c>
      <c r="G74" s="697">
        <v>263</v>
      </c>
      <c r="H74" s="697">
        <v>0</v>
      </c>
      <c r="I74" s="1116"/>
      <c r="J74" s="1116"/>
      <c r="K74" s="1116"/>
    </row>
    <row r="75" spans="1:11" ht="15.75" x14ac:dyDescent="0.25">
      <c r="A75" s="1089"/>
      <c r="B75" s="1109"/>
      <c r="C75" s="1109"/>
      <c r="D75" s="1117"/>
      <c r="E75" s="1118">
        <f>SUM(E11:E74)</f>
        <v>186649</v>
      </c>
      <c r="F75" s="1119">
        <f>SUM(F12:F74)</f>
        <v>186649</v>
      </c>
      <c r="G75" s="1119">
        <f>SUM(G12:G74)</f>
        <v>341958</v>
      </c>
      <c r="H75" s="1119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403" customWidth="1"/>
    <col min="2" max="2" width="27.7109375" style="415" customWidth="1"/>
    <col min="3" max="3" width="47.85546875" style="415" customWidth="1"/>
    <col min="4" max="4" width="9.140625" style="404"/>
    <col min="5" max="5" width="8.7109375" style="415" bestFit="1" customWidth="1"/>
    <col min="6" max="6" width="8.42578125" style="415" bestFit="1" customWidth="1"/>
    <col min="7" max="7" width="8.7109375" style="415" customWidth="1"/>
    <col min="8" max="8" width="8.85546875" style="415" customWidth="1"/>
    <col min="9" max="9" width="9.140625" style="415"/>
    <col min="10" max="16384" width="9.140625" style="406"/>
  </cols>
  <sheetData>
    <row r="1" spans="1:11" ht="14.1" customHeight="1" x14ac:dyDescent="0.25">
      <c r="C1" s="1363" t="s">
        <v>170</v>
      </c>
      <c r="D1" s="1363"/>
      <c r="E1" s="1363"/>
      <c r="F1" s="1363"/>
      <c r="G1" s="1363"/>
      <c r="H1" s="1363"/>
    </row>
    <row r="2" spans="1:11" ht="20.100000000000001" customHeight="1" x14ac:dyDescent="0.25">
      <c r="A2" s="1346" t="s">
        <v>338</v>
      </c>
      <c r="B2" s="1364"/>
      <c r="C2" s="1364"/>
      <c r="D2" s="1364"/>
      <c r="E2" s="1364"/>
      <c r="F2" s="1364"/>
      <c r="G2" s="1364"/>
      <c r="H2" s="1364"/>
    </row>
    <row r="3" spans="1:11" ht="14.1" customHeight="1" x14ac:dyDescent="0.25">
      <c r="A3" s="1346" t="s">
        <v>339</v>
      </c>
      <c r="B3" s="1364"/>
      <c r="C3" s="1364"/>
      <c r="D3" s="1364"/>
      <c r="E3" s="1364"/>
      <c r="F3" s="1364"/>
      <c r="G3" s="1364"/>
      <c r="H3" s="1364"/>
    </row>
    <row r="4" spans="1:11" ht="14.1" customHeight="1" x14ac:dyDescent="0.25">
      <c r="A4" s="1347" t="s">
        <v>55</v>
      </c>
      <c r="B4" s="1365"/>
      <c r="C4" s="1365"/>
      <c r="D4" s="1365"/>
      <c r="E4" s="1365"/>
      <c r="F4" s="1365"/>
      <c r="G4" s="1365"/>
      <c r="H4" s="1365"/>
    </row>
    <row r="5" spans="1:11" ht="14.1" customHeight="1" x14ac:dyDescent="0.25">
      <c r="A5" s="402"/>
      <c r="B5" s="403"/>
      <c r="C5" s="403"/>
      <c r="D5" s="403"/>
      <c r="E5" s="403"/>
      <c r="F5" s="403"/>
      <c r="G5" s="403"/>
      <c r="H5" s="403"/>
    </row>
    <row r="6" spans="1:11" ht="14.1" customHeight="1" x14ac:dyDescent="0.25">
      <c r="A6" s="1355"/>
      <c r="B6" s="405" t="s">
        <v>57</v>
      </c>
      <c r="C6" s="405" t="s">
        <v>58</v>
      </c>
      <c r="D6" s="405" t="s">
        <v>59</v>
      </c>
      <c r="E6" s="405" t="s">
        <v>60</v>
      </c>
      <c r="F6" s="405" t="s">
        <v>499</v>
      </c>
      <c r="G6" s="405" t="s">
        <v>500</v>
      </c>
      <c r="H6" s="405" t="s">
        <v>501</v>
      </c>
      <c r="I6" s="405" t="s">
        <v>629</v>
      </c>
    </row>
    <row r="7" spans="1:11" s="445" customFormat="1" ht="13.5" customHeight="1" x14ac:dyDescent="0.25">
      <c r="A7" s="1355"/>
      <c r="B7" s="1362" t="s">
        <v>340</v>
      </c>
      <c r="C7" s="1366" t="s">
        <v>341</v>
      </c>
      <c r="D7" s="1366" t="s">
        <v>342</v>
      </c>
      <c r="E7" s="1360" t="s">
        <v>343</v>
      </c>
      <c r="F7" s="1361"/>
      <c r="G7" s="1361"/>
      <c r="H7" s="1361"/>
      <c r="I7" s="1362"/>
      <c r="J7" s="444"/>
      <c r="K7" s="444"/>
    </row>
    <row r="8" spans="1:11" s="445" customFormat="1" ht="13.5" customHeight="1" x14ac:dyDescent="0.25">
      <c r="A8" s="1355"/>
      <c r="B8" s="1362"/>
      <c r="C8" s="1366"/>
      <c r="D8" s="1366"/>
      <c r="E8" s="446" t="s">
        <v>344</v>
      </c>
      <c r="F8" s="446" t="s">
        <v>345</v>
      </c>
      <c r="G8" s="446" t="s">
        <v>346</v>
      </c>
      <c r="H8" s="447" t="s">
        <v>347</v>
      </c>
      <c r="I8" s="446" t="s">
        <v>166</v>
      </c>
      <c r="J8" s="448"/>
      <c r="K8" s="448"/>
    </row>
    <row r="9" spans="1:11" s="445" customFormat="1" ht="13.5" customHeight="1" x14ac:dyDescent="0.25">
      <c r="A9" s="413" t="s">
        <v>508</v>
      </c>
      <c r="B9" s="449" t="s">
        <v>348</v>
      </c>
      <c r="C9" s="450"/>
      <c r="D9" s="451"/>
      <c r="E9" s="450"/>
      <c r="F9" s="450"/>
      <c r="G9" s="450"/>
      <c r="H9" s="450"/>
      <c r="I9" s="401"/>
    </row>
    <row r="10" spans="1:11" ht="13.5" customHeight="1" x14ac:dyDescent="0.25">
      <c r="A10" s="413" t="s">
        <v>516</v>
      </c>
      <c r="B10" s="452" t="s">
        <v>349</v>
      </c>
    </row>
    <row r="11" spans="1:11" ht="13.5" customHeight="1" x14ac:dyDescent="0.25">
      <c r="A11" s="413" t="s">
        <v>517</v>
      </c>
      <c r="B11" s="435" t="s">
        <v>350</v>
      </c>
      <c r="C11" s="436" t="s">
        <v>351</v>
      </c>
      <c r="D11" s="437"/>
      <c r="E11" s="436"/>
      <c r="F11" s="436"/>
      <c r="G11" s="436"/>
      <c r="H11" s="436"/>
    </row>
    <row r="12" spans="1:11" ht="13.5" customHeight="1" x14ac:dyDescent="0.25">
      <c r="A12" s="413" t="s">
        <v>518</v>
      </c>
      <c r="B12" s="435" t="s">
        <v>352</v>
      </c>
      <c r="C12" s="436" t="s">
        <v>353</v>
      </c>
      <c r="D12" s="404" t="s">
        <v>354</v>
      </c>
      <c r="E12" s="438">
        <v>300</v>
      </c>
      <c r="F12" s="438">
        <v>300</v>
      </c>
      <c r="G12" s="438">
        <v>300</v>
      </c>
      <c r="H12" s="438">
        <v>300</v>
      </c>
    </row>
    <row r="13" spans="1:11" ht="13.5" customHeight="1" x14ac:dyDescent="0.25">
      <c r="A13" s="413" t="s">
        <v>519</v>
      </c>
      <c r="B13" s="414" t="s">
        <v>355</v>
      </c>
      <c r="C13" s="415" t="s">
        <v>356</v>
      </c>
      <c r="D13" s="404" t="s">
        <v>354</v>
      </c>
      <c r="E13" s="412">
        <v>100</v>
      </c>
      <c r="F13" s="412">
        <v>100</v>
      </c>
      <c r="G13" s="412">
        <v>100</v>
      </c>
      <c r="H13" s="412">
        <v>100</v>
      </c>
      <c r="I13" s="415">
        <v>100</v>
      </c>
    </row>
    <row r="14" spans="1:11" ht="13.5" customHeight="1" x14ac:dyDescent="0.25">
      <c r="A14" s="413" t="s">
        <v>520</v>
      </c>
      <c r="B14" s="414" t="s">
        <v>357</v>
      </c>
      <c r="C14" s="415" t="s">
        <v>358</v>
      </c>
      <c r="D14" s="404" t="s">
        <v>354</v>
      </c>
      <c r="E14" s="412">
        <v>24554</v>
      </c>
      <c r="F14" s="412">
        <v>19393</v>
      </c>
      <c r="G14" s="412"/>
      <c r="H14" s="412">
        <v>24241</v>
      </c>
      <c r="I14" s="415">
        <v>24250</v>
      </c>
    </row>
    <row r="15" spans="1:11" ht="13.5" customHeight="1" x14ac:dyDescent="0.25">
      <c r="A15" s="413" t="s">
        <v>521</v>
      </c>
      <c r="B15" s="414" t="s">
        <v>359</v>
      </c>
      <c r="C15" s="415" t="s">
        <v>360</v>
      </c>
      <c r="D15" s="404" t="s">
        <v>354</v>
      </c>
      <c r="E15" s="412"/>
      <c r="F15" s="412"/>
      <c r="G15" s="412"/>
      <c r="H15" s="412"/>
    </row>
    <row r="16" spans="1:11" ht="13.5" customHeight="1" x14ac:dyDescent="0.25">
      <c r="A16" s="413" t="s">
        <v>522</v>
      </c>
      <c r="B16" s="414" t="s">
        <v>361</v>
      </c>
      <c r="C16" s="415" t="s">
        <v>362</v>
      </c>
      <c r="D16" s="404" t="s">
        <v>354</v>
      </c>
      <c r="E16" s="412">
        <v>17280</v>
      </c>
      <c r="F16" s="412">
        <v>17280</v>
      </c>
      <c r="G16" s="412">
        <v>17280</v>
      </c>
      <c r="H16" s="412">
        <v>17280</v>
      </c>
      <c r="I16" s="415">
        <v>17280</v>
      </c>
    </row>
    <row r="17" spans="1:13" ht="13.5" customHeight="1" x14ac:dyDescent="0.25">
      <c r="A17" s="413" t="s">
        <v>523</v>
      </c>
      <c r="B17" s="414" t="s">
        <v>363</v>
      </c>
      <c r="C17" s="415" t="s">
        <v>364</v>
      </c>
      <c r="D17" s="404" t="s">
        <v>354</v>
      </c>
      <c r="E17" s="412">
        <v>32739</v>
      </c>
      <c r="F17" s="412">
        <v>25858</v>
      </c>
      <c r="G17" s="412"/>
      <c r="H17" s="412">
        <v>27321</v>
      </c>
      <c r="I17" s="415">
        <v>27350</v>
      </c>
    </row>
    <row r="18" spans="1:13" ht="13.5" customHeight="1" x14ac:dyDescent="0.25">
      <c r="A18" s="413" t="s">
        <v>565</v>
      </c>
      <c r="B18" s="414"/>
      <c r="C18" s="415" t="s">
        <v>365</v>
      </c>
      <c r="D18" s="404" t="s">
        <v>354</v>
      </c>
      <c r="E18" s="412"/>
      <c r="F18" s="412"/>
      <c r="G18" s="412"/>
      <c r="H18" s="412"/>
    </row>
    <row r="19" spans="1:13" ht="13.5" customHeight="1" x14ac:dyDescent="0.25">
      <c r="A19" s="413" t="s">
        <v>566</v>
      </c>
      <c r="B19" s="414"/>
      <c r="C19" s="415" t="s">
        <v>366</v>
      </c>
      <c r="D19" s="404" t="s">
        <v>354</v>
      </c>
      <c r="E19" s="412">
        <v>23050</v>
      </c>
      <c r="F19" s="412">
        <v>23050</v>
      </c>
      <c r="G19" s="412">
        <v>23050</v>
      </c>
      <c r="H19" s="412">
        <v>23050</v>
      </c>
      <c r="I19" s="415">
        <v>23050</v>
      </c>
    </row>
    <row r="20" spans="1:13" ht="18" customHeight="1" x14ac:dyDescent="0.25">
      <c r="A20" s="413" t="s">
        <v>567</v>
      </c>
      <c r="B20" s="414" t="s">
        <v>367</v>
      </c>
      <c r="C20" s="415" t="s">
        <v>368</v>
      </c>
      <c r="D20" s="404" t="s">
        <v>354</v>
      </c>
      <c r="E20" s="412">
        <v>9</v>
      </c>
      <c r="F20" s="412">
        <v>9</v>
      </c>
      <c r="G20" s="412">
        <v>9</v>
      </c>
      <c r="H20" s="412">
        <v>9</v>
      </c>
      <c r="I20" s="415">
        <v>9</v>
      </c>
    </row>
    <row r="21" spans="1:13" ht="13.5" customHeight="1" x14ac:dyDescent="0.25">
      <c r="A21" s="413" t="s">
        <v>568</v>
      </c>
      <c r="B21" s="414" t="s">
        <v>369</v>
      </c>
      <c r="C21" s="415" t="s">
        <v>370</v>
      </c>
      <c r="D21" s="404" t="s">
        <v>354</v>
      </c>
      <c r="E21" s="412">
        <v>50</v>
      </c>
      <c r="F21" s="412">
        <v>50</v>
      </c>
      <c r="G21" s="412">
        <v>50</v>
      </c>
      <c r="H21" s="412">
        <v>100</v>
      </c>
      <c r="I21" s="415">
        <v>100</v>
      </c>
    </row>
    <row r="22" spans="1:13" ht="21" customHeight="1" x14ac:dyDescent="0.25">
      <c r="A22" s="413" t="s">
        <v>569</v>
      </c>
      <c r="B22" s="414" t="s">
        <v>371</v>
      </c>
      <c r="C22" s="415" t="s">
        <v>372</v>
      </c>
      <c r="D22" s="416" t="s">
        <v>354</v>
      </c>
      <c r="E22" s="412">
        <v>875</v>
      </c>
      <c r="F22" s="412">
        <v>875</v>
      </c>
      <c r="G22" s="412">
        <v>875</v>
      </c>
      <c r="H22" s="412">
        <v>875</v>
      </c>
      <c r="I22" s="415">
        <v>875</v>
      </c>
    </row>
    <row r="23" spans="1:13" s="408" customFormat="1" ht="30" x14ac:dyDescent="0.25">
      <c r="A23" s="413" t="s">
        <v>570</v>
      </c>
      <c r="B23" s="417" t="s">
        <v>373</v>
      </c>
      <c r="C23" s="439" t="s">
        <v>374</v>
      </c>
      <c r="D23" s="419" t="s">
        <v>354</v>
      </c>
      <c r="E23" s="440">
        <v>129</v>
      </c>
      <c r="F23" s="440">
        <v>129</v>
      </c>
      <c r="G23" s="440">
        <v>129</v>
      </c>
      <c r="H23" s="440">
        <v>193</v>
      </c>
      <c r="I23" s="425">
        <v>193</v>
      </c>
      <c r="J23" s="432"/>
      <c r="K23" s="441"/>
      <c r="M23" s="442"/>
    </row>
    <row r="24" spans="1:13" ht="17.25" customHeight="1" x14ac:dyDescent="0.25">
      <c r="A24" s="413" t="s">
        <v>571</v>
      </c>
      <c r="B24" s="414" t="s">
        <v>117</v>
      </c>
      <c r="C24" s="415" t="s">
        <v>375</v>
      </c>
      <c r="D24" s="416" t="s">
        <v>354</v>
      </c>
      <c r="E24" s="412">
        <v>125</v>
      </c>
      <c r="F24" s="412">
        <v>125</v>
      </c>
      <c r="G24" s="412">
        <v>125</v>
      </c>
      <c r="H24" s="412">
        <v>147</v>
      </c>
      <c r="I24" s="415">
        <v>147</v>
      </c>
    </row>
    <row r="25" spans="1:13" ht="15.75" customHeight="1" x14ac:dyDescent="0.25">
      <c r="A25" s="413" t="s">
        <v>572</v>
      </c>
      <c r="B25" s="414"/>
      <c r="C25" s="415" t="s">
        <v>376</v>
      </c>
      <c r="D25" s="416" t="s">
        <v>354</v>
      </c>
      <c r="E25" s="412">
        <v>54</v>
      </c>
      <c r="F25" s="412">
        <v>54</v>
      </c>
      <c r="G25" s="412">
        <v>54</v>
      </c>
      <c r="H25" s="412">
        <v>54</v>
      </c>
      <c r="I25" s="415">
        <v>54</v>
      </c>
    </row>
    <row r="26" spans="1:13" ht="13.5" customHeight="1" x14ac:dyDescent="0.25">
      <c r="A26" s="413" t="s">
        <v>574</v>
      </c>
      <c r="B26" s="414" t="s">
        <v>377</v>
      </c>
      <c r="C26" s="415" t="s">
        <v>378</v>
      </c>
      <c r="D26" s="416" t="s">
        <v>354</v>
      </c>
      <c r="E26" s="412">
        <v>100</v>
      </c>
      <c r="F26" s="412">
        <v>100</v>
      </c>
      <c r="G26" s="412">
        <v>100</v>
      </c>
      <c r="H26" s="412">
        <v>100</v>
      </c>
      <c r="I26" s="415">
        <v>100</v>
      </c>
    </row>
    <row r="27" spans="1:13" ht="13.5" customHeight="1" x14ac:dyDescent="0.25">
      <c r="A27" s="413" t="s">
        <v>575</v>
      </c>
      <c r="B27" s="414" t="s">
        <v>379</v>
      </c>
      <c r="C27" s="415" t="s">
        <v>380</v>
      </c>
      <c r="D27" s="416" t="s">
        <v>354</v>
      </c>
      <c r="E27" s="412">
        <v>1575</v>
      </c>
      <c r="F27" s="412">
        <v>1575</v>
      </c>
      <c r="G27" s="412">
        <v>1575</v>
      </c>
      <c r="H27" s="412">
        <v>1575</v>
      </c>
      <c r="I27" s="415">
        <v>1575</v>
      </c>
    </row>
    <row r="28" spans="1:13" ht="13.5" customHeight="1" x14ac:dyDescent="0.25">
      <c r="A28" s="413" t="s">
        <v>576</v>
      </c>
      <c r="B28" s="414" t="s">
        <v>381</v>
      </c>
      <c r="C28" s="415" t="s">
        <v>382</v>
      </c>
      <c r="D28" s="416" t="s">
        <v>354</v>
      </c>
      <c r="E28" s="412">
        <v>60</v>
      </c>
      <c r="F28" s="412">
        <v>60</v>
      </c>
      <c r="G28" s="412">
        <v>60</v>
      </c>
      <c r="H28" s="412">
        <v>60</v>
      </c>
      <c r="I28" s="415">
        <v>60</v>
      </c>
    </row>
    <row r="29" spans="1:13" ht="13.5" customHeight="1" x14ac:dyDescent="0.25">
      <c r="A29" s="413" t="s">
        <v>577</v>
      </c>
      <c r="B29" s="414" t="s">
        <v>383</v>
      </c>
      <c r="C29" s="415" t="s">
        <v>384</v>
      </c>
      <c r="D29" s="404" t="s">
        <v>354</v>
      </c>
      <c r="E29" s="412">
        <v>2900</v>
      </c>
      <c r="F29" s="412">
        <v>2900</v>
      </c>
      <c r="G29" s="412">
        <v>2900</v>
      </c>
      <c r="H29" s="412">
        <v>2000</v>
      </c>
      <c r="I29" s="415">
        <v>2000</v>
      </c>
    </row>
    <row r="30" spans="1:13" ht="18" customHeight="1" x14ac:dyDescent="0.25">
      <c r="A30" s="413" t="s">
        <v>578</v>
      </c>
      <c r="B30" s="417" t="s">
        <v>385</v>
      </c>
      <c r="C30" s="418" t="s">
        <v>386</v>
      </c>
      <c r="D30" s="419" t="s">
        <v>354</v>
      </c>
      <c r="E30" s="420">
        <v>383</v>
      </c>
      <c r="F30" s="420">
        <v>383</v>
      </c>
      <c r="G30" s="420">
        <v>383</v>
      </c>
      <c r="H30" s="420">
        <v>250</v>
      </c>
      <c r="I30" s="415">
        <v>250</v>
      </c>
    </row>
    <row r="31" spans="1:13" ht="18" customHeight="1" x14ac:dyDescent="0.25">
      <c r="A31" s="413" t="s">
        <v>579</v>
      </c>
      <c r="B31" s="417"/>
      <c r="C31" s="418" t="s">
        <v>118</v>
      </c>
      <c r="D31" s="419"/>
      <c r="E31" s="420"/>
      <c r="F31" s="420"/>
      <c r="G31" s="420"/>
      <c r="H31" s="420">
        <v>2980</v>
      </c>
      <c r="I31" s="415">
        <v>2980</v>
      </c>
    </row>
    <row r="32" spans="1:13" ht="18" customHeight="1" x14ac:dyDescent="0.25">
      <c r="A32" s="413" t="s">
        <v>580</v>
      </c>
      <c r="B32" s="417" t="s">
        <v>119</v>
      </c>
      <c r="C32" s="418" t="s">
        <v>120</v>
      </c>
      <c r="D32" s="419" t="s">
        <v>354</v>
      </c>
      <c r="E32" s="420"/>
      <c r="F32" s="420"/>
      <c r="G32" s="420">
        <v>248</v>
      </c>
      <c r="H32" s="420">
        <v>248</v>
      </c>
      <c r="I32" s="415">
        <v>248</v>
      </c>
    </row>
    <row r="33" spans="1:13" ht="15.75" x14ac:dyDescent="0.25">
      <c r="A33" s="413" t="s">
        <v>581</v>
      </c>
      <c r="B33" s="415" t="s">
        <v>387</v>
      </c>
      <c r="C33" s="415" t="s">
        <v>388</v>
      </c>
      <c r="D33" s="404" t="s">
        <v>389</v>
      </c>
      <c r="E33" s="415">
        <v>1936</v>
      </c>
      <c r="F33" s="415">
        <v>1718</v>
      </c>
      <c r="G33" s="415">
        <v>1718</v>
      </c>
      <c r="H33" s="415">
        <v>1650</v>
      </c>
      <c r="I33" s="415">
        <v>1650</v>
      </c>
    </row>
    <row r="34" spans="1:13" ht="17.25" customHeight="1" x14ac:dyDescent="0.25">
      <c r="A34" s="413" t="s">
        <v>601</v>
      </c>
      <c r="B34" s="414" t="s">
        <v>390</v>
      </c>
      <c r="C34" s="415" t="s">
        <v>391</v>
      </c>
      <c r="D34" s="404" t="s">
        <v>354</v>
      </c>
      <c r="E34" s="412">
        <v>2500</v>
      </c>
      <c r="F34" s="412">
        <v>2500</v>
      </c>
      <c r="G34" s="412">
        <v>2500</v>
      </c>
      <c r="H34" s="412">
        <v>2500</v>
      </c>
      <c r="I34" s="415">
        <v>2500</v>
      </c>
    </row>
    <row r="35" spans="1:13" ht="20.25" customHeight="1" x14ac:dyDescent="0.25">
      <c r="A35" s="413" t="s">
        <v>602</v>
      </c>
      <c r="B35" s="414" t="s">
        <v>392</v>
      </c>
      <c r="C35" s="415" t="s">
        <v>393</v>
      </c>
      <c r="D35" s="416">
        <v>42124</v>
      </c>
      <c r="E35" s="412">
        <v>1250</v>
      </c>
      <c r="F35" s="412">
        <v>1250</v>
      </c>
      <c r="G35" s="428">
        <v>1250</v>
      </c>
      <c r="H35" s="428">
        <v>312</v>
      </c>
    </row>
    <row r="36" spans="1:13" ht="13.5" customHeight="1" x14ac:dyDescent="0.25">
      <c r="A36" s="413" t="s">
        <v>603</v>
      </c>
      <c r="B36" s="414"/>
      <c r="C36" s="415" t="s">
        <v>394</v>
      </c>
      <c r="D36" s="404" t="s">
        <v>354</v>
      </c>
      <c r="E36" s="412">
        <v>200</v>
      </c>
      <c r="F36" s="412">
        <v>200</v>
      </c>
      <c r="G36" s="412">
        <v>258</v>
      </c>
      <c r="H36" s="412">
        <v>258</v>
      </c>
      <c r="I36" s="415">
        <v>258</v>
      </c>
    </row>
    <row r="37" spans="1:13" ht="13.5" customHeight="1" x14ac:dyDescent="0.25">
      <c r="A37" s="413" t="s">
        <v>604</v>
      </c>
      <c r="B37" s="414" t="s">
        <v>395</v>
      </c>
      <c r="C37" s="415" t="s">
        <v>396</v>
      </c>
      <c r="D37" s="404" t="s">
        <v>354</v>
      </c>
      <c r="E37" s="412">
        <v>994</v>
      </c>
      <c r="F37" s="412">
        <v>994</v>
      </c>
      <c r="G37" s="412">
        <v>994</v>
      </c>
      <c r="H37" s="412">
        <v>994</v>
      </c>
      <c r="I37" s="415">
        <v>971</v>
      </c>
    </row>
    <row r="38" spans="1:13" ht="13.5" customHeight="1" x14ac:dyDescent="0.25">
      <c r="A38" s="413" t="s">
        <v>605</v>
      </c>
      <c r="B38" s="414" t="s">
        <v>121</v>
      </c>
      <c r="C38" s="415" t="s">
        <v>122</v>
      </c>
      <c r="D38" s="404" t="s">
        <v>354</v>
      </c>
      <c r="E38" s="412">
        <v>750</v>
      </c>
      <c r="F38" s="412">
        <v>750</v>
      </c>
      <c r="G38" s="412">
        <v>762</v>
      </c>
      <c r="H38" s="412">
        <v>762</v>
      </c>
      <c r="I38" s="415">
        <v>762</v>
      </c>
    </row>
    <row r="39" spans="1:13" ht="15.75" x14ac:dyDescent="0.25">
      <c r="A39" s="413" t="s">
        <v>606</v>
      </c>
      <c r="B39" s="414" t="s">
        <v>397</v>
      </c>
      <c r="C39" s="415" t="s">
        <v>398</v>
      </c>
      <c r="D39" s="416" t="s">
        <v>354</v>
      </c>
      <c r="E39" s="404">
        <v>330</v>
      </c>
      <c r="F39" s="415">
        <v>330</v>
      </c>
      <c r="G39" s="415">
        <v>330</v>
      </c>
      <c r="H39" s="415">
        <v>330</v>
      </c>
      <c r="I39" s="415">
        <v>330</v>
      </c>
      <c r="K39" s="429"/>
      <c r="M39" s="407"/>
    </row>
    <row r="40" spans="1:13" ht="15.75" x14ac:dyDescent="0.25">
      <c r="A40" s="413" t="s">
        <v>607</v>
      </c>
      <c r="B40" s="414" t="s">
        <v>399</v>
      </c>
      <c r="C40" s="415" t="s">
        <v>400</v>
      </c>
      <c r="D40" s="416" t="s">
        <v>354</v>
      </c>
      <c r="E40" s="404">
        <v>930</v>
      </c>
      <c r="F40" s="415">
        <v>930</v>
      </c>
      <c r="G40" s="415">
        <v>930</v>
      </c>
      <c r="H40" s="415">
        <v>930</v>
      </c>
      <c r="I40" s="415">
        <v>930</v>
      </c>
      <c r="K40" s="429"/>
      <c r="M40" s="407"/>
    </row>
    <row r="41" spans="1:13" ht="15.75" x14ac:dyDescent="0.25">
      <c r="A41" s="413" t="s">
        <v>608</v>
      </c>
      <c r="B41" s="414" t="s">
        <v>123</v>
      </c>
      <c r="C41" s="415" t="s">
        <v>124</v>
      </c>
      <c r="D41" s="416" t="s">
        <v>354</v>
      </c>
      <c r="E41" s="404"/>
      <c r="G41" s="415">
        <v>823</v>
      </c>
      <c r="H41" s="415">
        <v>823</v>
      </c>
      <c r="I41" s="415">
        <v>823</v>
      </c>
      <c r="K41" s="429"/>
      <c r="M41" s="407"/>
    </row>
    <row r="42" spans="1:13" ht="14.1" customHeight="1" x14ac:dyDescent="0.25">
      <c r="A42" s="413" t="s">
        <v>609</v>
      </c>
      <c r="B42" s="415" t="s">
        <v>401</v>
      </c>
      <c r="C42" s="415" t="s">
        <v>402</v>
      </c>
      <c r="D42" s="404" t="s">
        <v>354</v>
      </c>
      <c r="E42" s="415">
        <v>16</v>
      </c>
      <c r="F42" s="415">
        <v>16</v>
      </c>
      <c r="G42" s="415">
        <v>16</v>
      </c>
      <c r="H42" s="415">
        <v>16</v>
      </c>
      <c r="I42" s="415">
        <v>16</v>
      </c>
    </row>
    <row r="43" spans="1:13" s="408" customFormat="1" ht="30" x14ac:dyDescent="0.25">
      <c r="A43" s="413" t="s">
        <v>664</v>
      </c>
      <c r="B43" s="421" t="s">
        <v>403</v>
      </c>
      <c r="C43" s="430" t="s">
        <v>404</v>
      </c>
      <c r="D43" s="423" t="s">
        <v>354</v>
      </c>
      <c r="E43" s="431">
        <v>40</v>
      </c>
      <c r="F43" s="431">
        <v>40</v>
      </c>
      <c r="G43" s="431">
        <v>40</v>
      </c>
      <c r="H43" s="431">
        <v>40</v>
      </c>
      <c r="I43" s="425">
        <v>40</v>
      </c>
      <c r="J43" s="432"/>
      <c r="K43" s="433"/>
      <c r="M43" s="409"/>
    </row>
    <row r="44" spans="1:13" s="408" customFormat="1" ht="18" customHeight="1" x14ac:dyDescent="0.25">
      <c r="A44" s="413" t="s">
        <v>665</v>
      </c>
      <c r="B44" s="421" t="s">
        <v>405</v>
      </c>
      <c r="C44" s="430" t="s">
        <v>406</v>
      </c>
      <c r="D44" s="423" t="s">
        <v>354</v>
      </c>
      <c r="E44" s="431">
        <v>994</v>
      </c>
      <c r="F44" s="431">
        <v>994</v>
      </c>
      <c r="G44" s="431">
        <v>994</v>
      </c>
      <c r="H44" s="425">
        <v>994</v>
      </c>
      <c r="I44" s="425">
        <v>994</v>
      </c>
      <c r="J44" s="432"/>
      <c r="K44" s="433"/>
      <c r="M44" s="409"/>
    </row>
    <row r="45" spans="1:13" s="408" customFormat="1" ht="15.75" x14ac:dyDescent="0.25">
      <c r="A45" s="413" t="s">
        <v>666</v>
      </c>
      <c r="B45" s="421" t="s">
        <v>407</v>
      </c>
      <c r="C45" s="430" t="s">
        <v>408</v>
      </c>
      <c r="D45" s="423" t="s">
        <v>354</v>
      </c>
      <c r="E45" s="431">
        <v>176</v>
      </c>
      <c r="F45" s="431">
        <v>176</v>
      </c>
      <c r="G45" s="431">
        <v>176</v>
      </c>
      <c r="H45" s="425">
        <v>176</v>
      </c>
      <c r="I45" s="425">
        <v>176</v>
      </c>
      <c r="J45" s="432"/>
      <c r="K45" s="433"/>
      <c r="M45" s="409"/>
    </row>
    <row r="46" spans="1:13" ht="13.5" customHeight="1" x14ac:dyDescent="0.25">
      <c r="A46" s="413" t="s">
        <v>667</v>
      </c>
      <c r="B46" s="417" t="s">
        <v>409</v>
      </c>
      <c r="C46" s="418" t="s">
        <v>410</v>
      </c>
      <c r="D46" s="419" t="s">
        <v>354</v>
      </c>
      <c r="E46" s="420">
        <v>199</v>
      </c>
      <c r="F46" s="420">
        <v>199</v>
      </c>
      <c r="G46" s="413">
        <v>199</v>
      </c>
      <c r="H46" s="420">
        <v>199</v>
      </c>
      <c r="I46" s="415">
        <v>199</v>
      </c>
    </row>
    <row r="47" spans="1:13" ht="13.5" customHeight="1" x14ac:dyDescent="0.25">
      <c r="A47" s="413" t="s">
        <v>125</v>
      </c>
      <c r="B47" s="417" t="s">
        <v>411</v>
      </c>
      <c r="C47" s="418" t="s">
        <v>412</v>
      </c>
      <c r="D47" s="419" t="s">
        <v>354</v>
      </c>
      <c r="E47" s="420">
        <v>1863</v>
      </c>
      <c r="F47" s="420">
        <v>1863</v>
      </c>
      <c r="G47" s="420">
        <v>1863</v>
      </c>
      <c r="H47" s="420">
        <v>1863</v>
      </c>
      <c r="I47" s="415">
        <v>1900</v>
      </c>
    </row>
    <row r="48" spans="1:13" ht="13.5" customHeight="1" x14ac:dyDescent="0.25">
      <c r="A48" s="413" t="s">
        <v>693</v>
      </c>
      <c r="B48" s="417" t="s">
        <v>126</v>
      </c>
      <c r="C48" s="418" t="s">
        <v>127</v>
      </c>
      <c r="D48" s="419" t="s">
        <v>354</v>
      </c>
      <c r="E48" s="420"/>
      <c r="F48" s="420"/>
      <c r="G48" s="420">
        <v>29600</v>
      </c>
      <c r="H48" s="420">
        <v>29600</v>
      </c>
      <c r="I48" s="415">
        <v>29600</v>
      </c>
    </row>
    <row r="49" spans="1:13" s="408" customFormat="1" ht="15.75" x14ac:dyDescent="0.25">
      <c r="A49" s="413" t="s">
        <v>694</v>
      </c>
      <c r="B49" s="421" t="s">
        <v>413</v>
      </c>
      <c r="C49" s="422" t="s">
        <v>414</v>
      </c>
      <c r="D49" s="423" t="s">
        <v>354</v>
      </c>
      <c r="E49" s="424">
        <v>3600</v>
      </c>
      <c r="F49" s="424">
        <v>3600</v>
      </c>
      <c r="G49" s="424">
        <v>3600</v>
      </c>
      <c r="H49" s="424">
        <v>6553</v>
      </c>
      <c r="I49" s="425">
        <v>6553</v>
      </c>
      <c r="J49" s="432"/>
      <c r="K49" s="433"/>
      <c r="M49" s="409"/>
    </row>
    <row r="50" spans="1:13" s="408" customFormat="1" ht="15.75" x14ac:dyDescent="0.25">
      <c r="A50" s="413" t="s">
        <v>128</v>
      </c>
      <c r="B50" s="421" t="s">
        <v>415</v>
      </c>
      <c r="C50" s="422" t="s">
        <v>416</v>
      </c>
      <c r="D50" s="423" t="s">
        <v>354</v>
      </c>
      <c r="E50" s="424">
        <v>123</v>
      </c>
      <c r="F50" s="424">
        <v>123</v>
      </c>
      <c r="G50" s="424">
        <v>123</v>
      </c>
      <c r="H50" s="424">
        <v>123</v>
      </c>
      <c r="I50" s="425">
        <v>123</v>
      </c>
      <c r="J50" s="432"/>
      <c r="K50" s="433"/>
      <c r="M50" s="409"/>
    </row>
    <row r="51" spans="1:13" ht="14.1" customHeight="1" x14ac:dyDescent="0.25">
      <c r="A51" s="413" t="s">
        <v>129</v>
      </c>
      <c r="B51" s="415" t="s">
        <v>417</v>
      </c>
      <c r="C51" s="415" t="s">
        <v>418</v>
      </c>
      <c r="D51" s="404" t="s">
        <v>354</v>
      </c>
      <c r="E51" s="415">
        <v>225</v>
      </c>
      <c r="F51" s="415">
        <v>225</v>
      </c>
      <c r="G51" s="415">
        <v>225</v>
      </c>
      <c r="H51" s="415">
        <v>241</v>
      </c>
      <c r="I51" s="415">
        <v>241</v>
      </c>
    </row>
    <row r="52" spans="1:13" ht="14.1" customHeight="1" x14ac:dyDescent="0.25">
      <c r="A52" s="413" t="s">
        <v>130</v>
      </c>
      <c r="B52" s="415" t="s">
        <v>131</v>
      </c>
      <c r="C52" s="415" t="s">
        <v>132</v>
      </c>
      <c r="D52" s="404" t="s">
        <v>455</v>
      </c>
      <c r="G52" s="415">
        <v>600</v>
      </c>
      <c r="H52" s="415">
        <v>1200</v>
      </c>
      <c r="I52" s="415">
        <v>1200</v>
      </c>
    </row>
    <row r="53" spans="1:13" ht="14.1" customHeight="1" x14ac:dyDescent="0.25">
      <c r="A53" s="413" t="s">
        <v>133</v>
      </c>
      <c r="B53" s="415" t="s">
        <v>134</v>
      </c>
      <c r="C53" s="415" t="s">
        <v>135</v>
      </c>
      <c r="D53" s="404" t="s">
        <v>354</v>
      </c>
      <c r="H53" s="415">
        <v>243</v>
      </c>
      <c r="I53" s="415">
        <v>243</v>
      </c>
    </row>
    <row r="54" spans="1:13" ht="14.1" customHeight="1" x14ac:dyDescent="0.25">
      <c r="A54" s="413" t="s">
        <v>136</v>
      </c>
      <c r="B54" s="415" t="s">
        <v>419</v>
      </c>
      <c r="C54" s="415" t="s">
        <v>420</v>
      </c>
      <c r="D54" s="404" t="s">
        <v>354</v>
      </c>
      <c r="E54" s="415">
        <v>26</v>
      </c>
      <c r="F54" s="415">
        <v>26</v>
      </c>
      <c r="G54" s="415">
        <v>26</v>
      </c>
      <c r="H54" s="415">
        <v>26</v>
      </c>
      <c r="I54" s="415">
        <v>26</v>
      </c>
    </row>
    <row r="55" spans="1:13" s="408" customFormat="1" ht="15.75" x14ac:dyDescent="0.25">
      <c r="A55" s="413" t="s">
        <v>137</v>
      </c>
      <c r="B55" s="421" t="s">
        <v>421</v>
      </c>
      <c r="C55" s="422" t="s">
        <v>422</v>
      </c>
      <c r="D55" s="423" t="s">
        <v>354</v>
      </c>
      <c r="E55" s="424">
        <v>5</v>
      </c>
      <c r="F55" s="424">
        <v>5</v>
      </c>
      <c r="G55" s="424">
        <v>5</v>
      </c>
      <c r="H55" s="425">
        <v>5</v>
      </c>
      <c r="I55" s="425">
        <v>5</v>
      </c>
      <c r="J55" s="432"/>
      <c r="K55" s="433"/>
      <c r="M55" s="409"/>
    </row>
    <row r="56" spans="1:13" s="410" customFormat="1" ht="13.5" customHeight="1" x14ac:dyDescent="0.25">
      <c r="A56" s="413" t="s">
        <v>138</v>
      </c>
      <c r="B56" s="421" t="s">
        <v>423</v>
      </c>
      <c r="C56" s="422" t="s">
        <v>424</v>
      </c>
      <c r="D56" s="423" t="s">
        <v>354</v>
      </c>
      <c r="E56" s="424">
        <v>250</v>
      </c>
      <c r="F56" s="424">
        <v>250</v>
      </c>
      <c r="G56" s="424">
        <v>250</v>
      </c>
      <c r="H56" s="424">
        <v>250</v>
      </c>
      <c r="I56" s="425">
        <v>250</v>
      </c>
      <c r="J56" s="426"/>
      <c r="K56" s="427"/>
      <c r="M56" s="411"/>
    </row>
    <row r="57" spans="1:13" s="410" customFormat="1" ht="13.5" customHeight="1" x14ac:dyDescent="0.25">
      <c r="A57" s="413" t="s">
        <v>139</v>
      </c>
      <c r="B57" s="421" t="s">
        <v>140</v>
      </c>
      <c r="C57" s="422" t="s">
        <v>141</v>
      </c>
      <c r="D57" s="423" t="s">
        <v>455</v>
      </c>
      <c r="E57" s="424"/>
      <c r="F57" s="424"/>
      <c r="G57" s="424">
        <v>2439</v>
      </c>
      <c r="H57" s="424">
        <v>3658</v>
      </c>
      <c r="I57" s="425">
        <v>3658</v>
      </c>
      <c r="J57" s="426"/>
      <c r="K57" s="427"/>
      <c r="M57" s="411"/>
    </row>
    <row r="58" spans="1:13" s="410" customFormat="1" ht="13.5" customHeight="1" x14ac:dyDescent="0.25">
      <c r="A58" s="413" t="s">
        <v>142</v>
      </c>
      <c r="B58" s="421" t="s">
        <v>143</v>
      </c>
      <c r="C58" s="422" t="s">
        <v>144</v>
      </c>
      <c r="D58" s="423" t="s">
        <v>455</v>
      </c>
      <c r="E58" s="424"/>
      <c r="F58" s="424"/>
      <c r="G58" s="424">
        <v>2438</v>
      </c>
      <c r="H58" s="424">
        <v>2438</v>
      </c>
      <c r="I58" s="425">
        <v>2438</v>
      </c>
      <c r="J58" s="426"/>
      <c r="K58" s="427"/>
      <c r="M58" s="411"/>
    </row>
    <row r="59" spans="1:13" s="410" customFormat="1" ht="13.5" customHeight="1" x14ac:dyDescent="0.25">
      <c r="A59" s="413" t="s">
        <v>145</v>
      </c>
      <c r="B59" s="421" t="s">
        <v>146</v>
      </c>
      <c r="C59" s="422" t="s">
        <v>147</v>
      </c>
      <c r="D59" s="423" t="s">
        <v>354</v>
      </c>
      <c r="E59" s="424"/>
      <c r="F59" s="424"/>
      <c r="G59" s="424">
        <v>610</v>
      </c>
      <c r="H59" s="424">
        <v>610</v>
      </c>
      <c r="I59" s="425">
        <v>610</v>
      </c>
      <c r="J59" s="426"/>
      <c r="K59" s="427"/>
      <c r="M59" s="411"/>
    </row>
    <row r="60" spans="1:13" s="410" customFormat="1" ht="13.5" customHeight="1" x14ac:dyDescent="0.25">
      <c r="A60" s="413" t="s">
        <v>148</v>
      </c>
      <c r="B60" s="421" t="s">
        <v>425</v>
      </c>
      <c r="C60" s="422" t="s">
        <v>426</v>
      </c>
      <c r="D60" s="423">
        <v>43496</v>
      </c>
      <c r="E60" s="424">
        <v>2865</v>
      </c>
      <c r="F60" s="424">
        <v>2865</v>
      </c>
      <c r="G60" s="424">
        <v>2865</v>
      </c>
      <c r="H60" s="424">
        <v>2865</v>
      </c>
      <c r="I60" s="425">
        <v>2865</v>
      </c>
      <c r="J60" s="426"/>
      <c r="K60" s="427"/>
      <c r="M60" s="411"/>
    </row>
    <row r="61" spans="1:13" s="410" customFormat="1" ht="13.5" customHeight="1" x14ac:dyDescent="0.25">
      <c r="A61" s="413" t="s">
        <v>149</v>
      </c>
      <c r="B61" s="421" t="s">
        <v>150</v>
      </c>
      <c r="C61" s="422" t="s">
        <v>151</v>
      </c>
      <c r="D61" s="423"/>
      <c r="E61" s="424">
        <v>175</v>
      </c>
      <c r="F61" s="424">
        <v>175</v>
      </c>
      <c r="G61" s="424">
        <v>175</v>
      </c>
      <c r="H61" s="424">
        <v>175</v>
      </c>
      <c r="I61" s="425">
        <v>175</v>
      </c>
      <c r="J61" s="426"/>
      <c r="K61" s="427"/>
      <c r="M61" s="411"/>
    </row>
    <row r="62" spans="1:13" s="410" customFormat="1" ht="13.5" customHeight="1" x14ac:dyDescent="0.25">
      <c r="A62" s="413" t="s">
        <v>152</v>
      </c>
      <c r="B62" s="421" t="s">
        <v>427</v>
      </c>
      <c r="C62" s="422" t="s">
        <v>428</v>
      </c>
      <c r="D62" s="423" t="s">
        <v>354</v>
      </c>
      <c r="E62" s="424">
        <v>217</v>
      </c>
      <c r="F62" s="424">
        <v>217</v>
      </c>
      <c r="G62" s="424">
        <v>217</v>
      </c>
      <c r="H62" s="424">
        <v>217</v>
      </c>
      <c r="I62" s="425">
        <v>217</v>
      </c>
      <c r="J62" s="426"/>
      <c r="K62" s="427"/>
      <c r="M62" s="411"/>
    </row>
    <row r="63" spans="1:13" s="410" customFormat="1" ht="13.5" customHeight="1" x14ac:dyDescent="0.25">
      <c r="A63" s="413" t="s">
        <v>153</v>
      </c>
      <c r="B63" s="414" t="s">
        <v>429</v>
      </c>
      <c r="C63" s="434" t="s">
        <v>430</v>
      </c>
      <c r="D63" s="423" t="s">
        <v>354</v>
      </c>
      <c r="E63" s="443">
        <v>15</v>
      </c>
      <c r="F63" s="443">
        <v>15</v>
      </c>
      <c r="G63" s="424">
        <v>15</v>
      </c>
      <c r="H63" s="424">
        <v>15</v>
      </c>
      <c r="I63" s="425">
        <v>15</v>
      </c>
      <c r="J63" s="426"/>
      <c r="K63" s="427"/>
      <c r="M63" s="411"/>
    </row>
    <row r="64" spans="1:13" s="410" customFormat="1" ht="13.5" customHeight="1" x14ac:dyDescent="0.25">
      <c r="A64" s="413" t="s">
        <v>154</v>
      </c>
      <c r="B64" s="414" t="s">
        <v>429</v>
      </c>
      <c r="C64" s="434" t="s">
        <v>431</v>
      </c>
      <c r="D64" s="423" t="s">
        <v>354</v>
      </c>
      <c r="E64" s="443">
        <v>150</v>
      </c>
      <c r="F64" s="443">
        <v>150</v>
      </c>
      <c r="G64" s="424">
        <v>150</v>
      </c>
      <c r="H64" s="424">
        <v>226</v>
      </c>
      <c r="I64" s="425">
        <v>226</v>
      </c>
      <c r="J64" s="426"/>
      <c r="K64" s="427"/>
      <c r="M64" s="411"/>
    </row>
    <row r="65" spans="1:13" s="410" customFormat="1" ht="13.5" customHeight="1" x14ac:dyDescent="0.25">
      <c r="A65" s="413" t="s">
        <v>155</v>
      </c>
      <c r="B65" s="414" t="s">
        <v>432</v>
      </c>
      <c r="C65" s="434" t="s">
        <v>433</v>
      </c>
      <c r="D65" s="423" t="s">
        <v>354</v>
      </c>
      <c r="E65" s="443">
        <v>75</v>
      </c>
      <c r="F65" s="443">
        <v>75</v>
      </c>
      <c r="G65" s="424">
        <v>75</v>
      </c>
      <c r="H65" s="424">
        <v>45</v>
      </c>
      <c r="I65" s="425">
        <v>45</v>
      </c>
      <c r="J65" s="426"/>
      <c r="K65" s="427"/>
      <c r="M65" s="411"/>
    </row>
    <row r="66" spans="1:13" s="410" customFormat="1" ht="13.5" customHeight="1" x14ac:dyDescent="0.25">
      <c r="A66" s="413" t="s">
        <v>156</v>
      </c>
      <c r="B66" s="421"/>
      <c r="C66" s="422" t="s">
        <v>157</v>
      </c>
      <c r="D66" s="423" t="s">
        <v>455</v>
      </c>
      <c r="E66" s="424"/>
      <c r="F66" s="424"/>
      <c r="G66" s="424">
        <v>347</v>
      </c>
      <c r="H66" s="424">
        <v>347</v>
      </c>
      <c r="I66" s="425">
        <v>347</v>
      </c>
      <c r="J66" s="426"/>
      <c r="K66" s="427"/>
      <c r="M66" s="411"/>
    </row>
    <row r="67" spans="1:13" s="410" customFormat="1" ht="13.5" customHeight="1" x14ac:dyDescent="0.25">
      <c r="A67" s="413" t="s">
        <v>158</v>
      </c>
      <c r="B67" s="421" t="s">
        <v>159</v>
      </c>
      <c r="C67" s="422" t="s">
        <v>160</v>
      </c>
      <c r="D67" s="423" t="s">
        <v>455</v>
      </c>
      <c r="E67" s="424"/>
      <c r="F67" s="424"/>
      <c r="G67" s="424">
        <v>54</v>
      </c>
      <c r="H67" s="424">
        <v>216</v>
      </c>
      <c r="I67" s="425">
        <v>216</v>
      </c>
      <c r="J67" s="426"/>
      <c r="K67" s="427"/>
      <c r="M67" s="411"/>
    </row>
    <row r="68" spans="1:13" s="410" customFormat="1" ht="13.5" customHeight="1" x14ac:dyDescent="0.25">
      <c r="A68" s="413" t="s">
        <v>161</v>
      </c>
      <c r="B68" s="421"/>
      <c r="C68" s="422" t="s">
        <v>162</v>
      </c>
      <c r="D68" s="423" t="s">
        <v>455</v>
      </c>
      <c r="E68" s="424"/>
      <c r="F68" s="424"/>
      <c r="G68" s="424">
        <v>380</v>
      </c>
      <c r="H68" s="424">
        <v>380</v>
      </c>
      <c r="I68" s="425">
        <v>380</v>
      </c>
      <c r="J68" s="426"/>
      <c r="K68" s="427"/>
      <c r="M68" s="411"/>
    </row>
    <row r="69" spans="1:13" s="410" customFormat="1" ht="13.5" customHeight="1" x14ac:dyDescent="0.25">
      <c r="A69" s="413" t="s">
        <v>163</v>
      </c>
      <c r="B69" s="421" t="s">
        <v>434</v>
      </c>
      <c r="C69" s="422" t="s">
        <v>435</v>
      </c>
      <c r="D69" s="423" t="s">
        <v>354</v>
      </c>
      <c r="E69" s="424">
        <v>1800</v>
      </c>
      <c r="F69" s="424">
        <v>1800</v>
      </c>
      <c r="G69" s="424">
        <v>1800</v>
      </c>
      <c r="H69" s="424">
        <v>1500</v>
      </c>
      <c r="I69" s="425">
        <v>1500</v>
      </c>
      <c r="J69" s="426"/>
      <c r="K69" s="427"/>
      <c r="M69" s="411"/>
    </row>
    <row r="70" spans="1:13" s="410" customFormat="1" ht="13.5" customHeight="1" x14ac:dyDescent="0.25">
      <c r="A70" s="413" t="s">
        <v>164</v>
      </c>
      <c r="B70" s="421" t="s">
        <v>436</v>
      </c>
      <c r="C70" s="422" t="s">
        <v>437</v>
      </c>
      <c r="D70" s="423" t="s">
        <v>354</v>
      </c>
      <c r="E70" s="424">
        <v>1875</v>
      </c>
      <c r="F70" s="424">
        <v>2000</v>
      </c>
      <c r="G70" s="424">
        <v>2000</v>
      </c>
      <c r="H70" s="424">
        <v>1700</v>
      </c>
      <c r="I70" s="425">
        <v>1700</v>
      </c>
      <c r="J70" s="426"/>
      <c r="K70" s="427"/>
      <c r="M70" s="411"/>
    </row>
    <row r="71" spans="1:13" ht="13.5" customHeight="1" x14ac:dyDescent="0.25">
      <c r="A71" s="413" t="s">
        <v>165</v>
      </c>
      <c r="B71" s="1359" t="s">
        <v>438</v>
      </c>
      <c r="C71" s="1359"/>
      <c r="E71" s="453">
        <f>SUM(E12:E70)</f>
        <v>127862</v>
      </c>
      <c r="F71" s="453">
        <f>SUM(F12:F70)</f>
        <v>115727</v>
      </c>
      <c r="G71" s="453">
        <f>SUM(G12:G70)</f>
        <v>108085</v>
      </c>
      <c r="H71" s="453">
        <f>SUM(H12:H70)</f>
        <v>165363</v>
      </c>
      <c r="I71" s="453">
        <f>SUM(I12:I70)</f>
        <v>164803</v>
      </c>
    </row>
    <row r="72" spans="1:13" ht="9.75" customHeight="1" x14ac:dyDescent="0.25">
      <c r="A72" s="413"/>
      <c r="B72" s="401"/>
      <c r="C72" s="414"/>
      <c r="E72" s="412"/>
      <c r="F72" s="412"/>
      <c r="G72" s="412"/>
      <c r="H72" s="412"/>
    </row>
    <row r="73" spans="1:13" ht="6.75" customHeight="1" x14ac:dyDescent="0.25">
      <c r="E73" s="412"/>
      <c r="F73" s="412"/>
      <c r="G73" s="412"/>
      <c r="H73" s="412"/>
    </row>
    <row r="74" spans="1:13" ht="13.5" customHeight="1" x14ac:dyDescent="0.25">
      <c r="E74" s="412"/>
      <c r="F74" s="412"/>
      <c r="G74" s="412"/>
      <c r="H74" s="412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47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37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131" t="s">
        <v>1229</v>
      </c>
      <c r="B1" s="1131"/>
      <c r="C1" s="1131"/>
      <c r="D1" s="1131"/>
      <c r="E1" s="1131"/>
      <c r="F1" s="1131"/>
      <c r="G1" s="1131"/>
      <c r="H1" s="1131"/>
      <c r="I1" s="1131"/>
    </row>
    <row r="2" spans="1:22" x14ac:dyDescent="0.2">
      <c r="B2" s="593"/>
      <c r="I2" s="159"/>
    </row>
    <row r="3" spans="1:22" s="122" customFormat="1" x14ac:dyDescent="0.2">
      <c r="A3" s="160"/>
      <c r="B3" s="1134" t="s">
        <v>54</v>
      </c>
      <c r="C3" s="1134"/>
      <c r="D3" s="1134"/>
      <c r="E3" s="1134"/>
      <c r="F3" s="1134"/>
      <c r="G3" s="1134"/>
      <c r="H3" s="1134"/>
      <c r="I3" s="113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34" t="s">
        <v>1126</v>
      </c>
      <c r="C4" s="1134"/>
      <c r="D4" s="1134"/>
      <c r="E4" s="1134"/>
      <c r="F4" s="1134"/>
      <c r="G4" s="1134"/>
      <c r="H4" s="1134"/>
      <c r="I4" s="113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135" t="s">
        <v>325</v>
      </c>
      <c r="B5" s="1135"/>
      <c r="C5" s="1135"/>
      <c r="D5" s="1135"/>
      <c r="E5" s="1135"/>
      <c r="F5" s="1135"/>
      <c r="G5" s="1135"/>
      <c r="H5" s="1135"/>
      <c r="I5" s="113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58" t="s">
        <v>56</v>
      </c>
      <c r="B6" s="1140" t="s">
        <v>57</v>
      </c>
      <c r="C6" s="1155" t="s">
        <v>58</v>
      </c>
      <c r="D6" s="1155"/>
      <c r="E6" s="1156"/>
      <c r="F6" s="1" t="s">
        <v>59</v>
      </c>
      <c r="G6" s="1157" t="s">
        <v>60</v>
      </c>
      <c r="H6" s="1157"/>
      <c r="I6" s="1157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59"/>
      <c r="B7" s="1140"/>
      <c r="C7" s="1132" t="s">
        <v>1125</v>
      </c>
      <c r="D7" s="1132"/>
      <c r="E7" s="1133"/>
      <c r="F7" s="2"/>
      <c r="G7" s="1132" t="s">
        <v>1125</v>
      </c>
      <c r="H7" s="1132"/>
      <c r="I7" s="1132"/>
      <c r="J7" s="160"/>
      <c r="K7" s="160"/>
      <c r="L7" s="160"/>
      <c r="M7" s="160"/>
    </row>
    <row r="8" spans="1:22" s="123" customFormat="1" ht="36.6" customHeight="1" x14ac:dyDescent="0.2">
      <c r="A8" s="1160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612"/>
      <c r="K8" s="190"/>
      <c r="L8" s="190"/>
      <c r="M8" s="190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62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2" si="0">A9+1</f>
        <v>2</v>
      </c>
      <c r="B10" s="167"/>
      <c r="C10" s="118"/>
      <c r="D10" s="118"/>
      <c r="E10" s="119"/>
      <c r="F10" s="139"/>
      <c r="G10" s="119"/>
      <c r="H10" s="119"/>
      <c r="I10" s="455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57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57" t="s">
        <v>674</v>
      </c>
      <c r="C12" s="118"/>
      <c r="D12" s="168"/>
      <c r="E12" s="168"/>
      <c r="F12" s="139" t="s">
        <v>668</v>
      </c>
      <c r="G12" s="169">
        <f>Össz.önkor.mérleg.!G26</f>
        <v>2030710</v>
      </c>
      <c r="H12" s="169">
        <f>Össz.önkor.mérleg.!H26</f>
        <v>50606</v>
      </c>
      <c r="I12" s="457">
        <f>Össz.önkor.mérleg.!I26</f>
        <v>2081316</v>
      </c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157" t="s">
        <v>43</v>
      </c>
      <c r="C13" s="118"/>
      <c r="D13" s="168"/>
      <c r="E13" s="168"/>
      <c r="F13" s="139" t="s">
        <v>31</v>
      </c>
      <c r="G13" s="169">
        <f>Össz.önkor.mérleg.!G27</f>
        <v>10000</v>
      </c>
      <c r="H13" s="169">
        <f>Össz.önkor.mérleg.!H27</f>
        <v>0</v>
      </c>
      <c r="I13" s="457">
        <f>SUM(G13:H13)</f>
        <v>10000</v>
      </c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44</v>
      </c>
      <c r="C14" s="118">
        <f>Össz.önkor.mérleg.!C17</f>
        <v>0</v>
      </c>
      <c r="D14" s="129">
        <f>Össz.önkor.mérleg.!D23</f>
        <v>0</v>
      </c>
      <c r="E14" s="118">
        <f>Össz.önkor.mérleg.!E23</f>
        <v>0</v>
      </c>
      <c r="F14" s="139" t="s">
        <v>32</v>
      </c>
      <c r="G14" s="169">
        <f>Össz.önkor.mérleg.!G28</f>
        <v>0</v>
      </c>
      <c r="H14" s="169">
        <f>Össz.önkor.mérleg.!H28</f>
        <v>0</v>
      </c>
      <c r="I14" s="457">
        <f>SUM(G14:H14)</f>
        <v>0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45</v>
      </c>
      <c r="C15" s="118">
        <f>Össz.önkor.mérleg.!C24</f>
        <v>0</v>
      </c>
      <c r="D15" s="118">
        <f>Össz.önkor.mérleg.!D24</f>
        <v>0</v>
      </c>
      <c r="E15" s="118">
        <f>Össz.önkor.mérleg.!E24</f>
        <v>0</v>
      </c>
      <c r="F15" s="139" t="s">
        <v>473</v>
      </c>
      <c r="G15" s="169">
        <f>Össz.önkor.mérleg.!G29</f>
        <v>0</v>
      </c>
      <c r="H15" s="169">
        <f>Össz.önkor.mérleg.!H29</f>
        <v>0</v>
      </c>
      <c r="I15" s="457">
        <f>SUM(G15:H15)</f>
        <v>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6" t="s">
        <v>46</v>
      </c>
      <c r="C16" s="118">
        <f>Össz.önkor.mérleg.!C20</f>
        <v>0</v>
      </c>
      <c r="D16" s="119">
        <f>Össz.önkor.mérleg.!D25</f>
        <v>0</v>
      </c>
      <c r="E16" s="118">
        <f>Össz.önkor.mérleg.!E25</f>
        <v>0</v>
      </c>
      <c r="F16" s="139" t="s">
        <v>470</v>
      </c>
      <c r="G16" s="169">
        <f>Össz.önkor.mérleg.!G30</f>
        <v>33252</v>
      </c>
      <c r="H16" s="169">
        <f>Össz.önkor.mérleg.!H30</f>
        <v>35520</v>
      </c>
      <c r="I16" s="457">
        <f>Össz.önkor.mérleg.!I30</f>
        <v>68772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47</v>
      </c>
      <c r="C17" s="118">
        <f>Össz.önkor.mérleg.!C21</f>
        <v>0</v>
      </c>
      <c r="D17" s="119"/>
      <c r="E17" s="119"/>
      <c r="F17" s="139" t="s">
        <v>466</v>
      </c>
      <c r="G17" s="169">
        <f>Össz.önkor.mérleg.!G31</f>
        <v>265118</v>
      </c>
      <c r="H17" s="169">
        <f>Össz.önkor.mérleg.!H31</f>
        <v>0</v>
      </c>
      <c r="I17" s="457">
        <f>Össz.önkor.mérleg.!I31</f>
        <v>265118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>
        <f>Össz.önkor.mérleg.!C22</f>
        <v>0</v>
      </c>
      <c r="D18" s="119"/>
      <c r="E18" s="119"/>
      <c r="F18" s="176" t="s">
        <v>68</v>
      </c>
      <c r="G18" s="177">
        <f>SUM(G12:G17)</f>
        <v>2339080</v>
      </c>
      <c r="H18" s="177">
        <f>SUM(H12:H17)</f>
        <v>86126</v>
      </c>
      <c r="I18" s="459">
        <f>SUM(I12:I17)</f>
        <v>2425206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57" t="s">
        <v>675</v>
      </c>
      <c r="C19" s="118">
        <f>Össz.önkor.mérleg.!C23</f>
        <v>0</v>
      </c>
      <c r="D19" s="119">
        <f>Össz.önkor.mérleg.!D29</f>
        <v>2870</v>
      </c>
      <c r="E19" s="119">
        <f>Össz.önkor.mérleg.!E29</f>
        <v>2870</v>
      </c>
      <c r="F19" s="139"/>
      <c r="G19" s="169"/>
      <c r="H19" s="169"/>
      <c r="I19" s="455"/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4" customFormat="1" x14ac:dyDescent="0.2">
      <c r="A20" s="164">
        <f t="shared" si="0"/>
        <v>12</v>
      </c>
      <c r="B20" s="157"/>
      <c r="C20" s="119"/>
      <c r="D20" s="119"/>
      <c r="E20" s="119"/>
      <c r="F20" s="171"/>
      <c r="G20" s="169"/>
      <c r="H20" s="169"/>
      <c r="I20" s="457"/>
      <c r="J20" s="554"/>
      <c r="K20" s="191"/>
      <c r="L20" s="191"/>
      <c r="M20" s="191"/>
    </row>
    <row r="21" spans="1:22" s="124" customFormat="1" x14ac:dyDescent="0.2">
      <c r="A21" s="164">
        <f t="shared" si="0"/>
        <v>13</v>
      </c>
      <c r="B21" s="174"/>
      <c r="C21" s="168"/>
      <c r="D21" s="168"/>
      <c r="E21" s="168"/>
      <c r="F21" s="171"/>
      <c r="G21" s="169"/>
      <c r="H21" s="169"/>
      <c r="I21" s="457"/>
      <c r="J21" s="554"/>
      <c r="K21" s="191"/>
      <c r="L21" s="191"/>
      <c r="M21" s="191"/>
    </row>
    <row r="22" spans="1:22" x14ac:dyDescent="0.2">
      <c r="A22" s="164">
        <f t="shared" si="0"/>
        <v>14</v>
      </c>
      <c r="B22" s="175" t="s">
        <v>67</v>
      </c>
      <c r="C22" s="125">
        <f>C11+C13+C14+C15+C16+C17+C19</f>
        <v>0</v>
      </c>
      <c r="D22" s="125">
        <f>D11+D13+D14+D15+D16+D17+D19</f>
        <v>2870</v>
      </c>
      <c r="E22" s="125">
        <f>E11+E13+E14+E15+E16+E17+E19</f>
        <v>2870</v>
      </c>
      <c r="F22" s="172"/>
      <c r="G22" s="125"/>
      <c r="H22" s="125"/>
      <c r="I22" s="456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4">
        <f t="shared" si="0"/>
        <v>15</v>
      </c>
      <c r="B23" s="178" t="s">
        <v>51</v>
      </c>
      <c r="C23" s="173">
        <f>SUM(C21:C22)</f>
        <v>0</v>
      </c>
      <c r="D23" s="173">
        <f>SUM(D21:D22)</f>
        <v>2870</v>
      </c>
      <c r="E23" s="173">
        <f>SUM(E21:E22)</f>
        <v>2870</v>
      </c>
      <c r="F23" s="179" t="s">
        <v>69</v>
      </c>
      <c r="G23" s="173">
        <f>G22+G18</f>
        <v>2339080</v>
      </c>
      <c r="H23" s="173">
        <f>H22+H18</f>
        <v>86126</v>
      </c>
      <c r="I23" s="460">
        <f>I22+I18</f>
        <v>2425206</v>
      </c>
      <c r="J23" s="184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4">
        <f t="shared" si="0"/>
        <v>16</v>
      </c>
      <c r="B24" s="180"/>
      <c r="C24" s="169"/>
      <c r="D24" s="169"/>
      <c r="E24" s="169"/>
      <c r="F24" s="171"/>
      <c r="I24" s="457"/>
      <c r="J24" s="184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78" t="s">
        <v>676</v>
      </c>
      <c r="C25" s="173">
        <f>C23-G23</f>
        <v>-2339080</v>
      </c>
      <c r="D25" s="173">
        <f>D23-H23</f>
        <v>-83256</v>
      </c>
      <c r="E25" s="609">
        <f>E23-I23</f>
        <v>-2422336</v>
      </c>
      <c r="F25" s="171"/>
      <c r="I25" s="457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338">
        <f t="shared" si="0"/>
        <v>18</v>
      </c>
      <c r="B26" s="80"/>
      <c r="C26" s="674"/>
      <c r="D26" s="674"/>
      <c r="E26" s="674"/>
      <c r="F26" s="171"/>
      <c r="I26" s="457"/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4">
        <f>A26+1</f>
        <v>19</v>
      </c>
      <c r="B27" s="180"/>
      <c r="C27" s="169"/>
      <c r="D27" s="169"/>
      <c r="E27" s="169"/>
      <c r="F27" s="171"/>
      <c r="G27" s="169"/>
      <c r="H27" s="169"/>
      <c r="I27" s="457"/>
      <c r="J27" s="532"/>
      <c r="K27" s="183"/>
      <c r="L27" s="183"/>
      <c r="M27" s="183"/>
    </row>
    <row r="28" spans="1:22" s="11" customFormat="1" x14ac:dyDescent="0.2">
      <c r="A28" s="813">
        <f t="shared" si="0"/>
        <v>20</v>
      </c>
      <c r="B28" s="126" t="s">
        <v>53</v>
      </c>
      <c r="C28" s="126"/>
      <c r="D28" s="126"/>
      <c r="E28" s="126"/>
      <c r="F28" s="140" t="s">
        <v>33</v>
      </c>
      <c r="G28" s="173"/>
      <c r="H28" s="173"/>
      <c r="I28" s="460"/>
      <c r="J28" s="532"/>
      <c r="K28" s="183"/>
      <c r="L28" s="183"/>
      <c r="M28" s="183"/>
    </row>
    <row r="29" spans="1:22" s="11" customFormat="1" x14ac:dyDescent="0.2">
      <c r="A29" s="164">
        <f t="shared" si="0"/>
        <v>21</v>
      </c>
      <c r="B29" s="136" t="s">
        <v>726</v>
      </c>
      <c r="C29" s="126"/>
      <c r="D29" s="126"/>
      <c r="E29" s="126"/>
      <c r="F29" s="181" t="s">
        <v>4</v>
      </c>
      <c r="G29" s="182"/>
      <c r="H29" s="183"/>
      <c r="I29" s="461"/>
      <c r="J29" s="532"/>
      <c r="K29" s="183"/>
      <c r="L29" s="183"/>
      <c r="M29" s="183"/>
    </row>
    <row r="30" spans="1:22" s="11" customFormat="1" x14ac:dyDescent="0.2">
      <c r="A30" s="164">
        <f t="shared" si="0"/>
        <v>22</v>
      </c>
      <c r="B30" s="157" t="s">
        <v>1083</v>
      </c>
      <c r="C30" s="119">
        <f>Össz.önkor.mérleg.!C39</f>
        <v>1243160</v>
      </c>
      <c r="D30" s="119">
        <f>Össz.önkor.mérleg.!D39</f>
        <v>0</v>
      </c>
      <c r="E30" s="119">
        <f>Össz.önkor.mérleg.!E39</f>
        <v>1243160</v>
      </c>
      <c r="F30" s="184" t="s">
        <v>3</v>
      </c>
      <c r="G30" s="173"/>
      <c r="H30" s="173"/>
      <c r="I30" s="460"/>
      <c r="J30" s="532"/>
      <c r="K30" s="183"/>
      <c r="L30" s="183"/>
      <c r="M30" s="183"/>
    </row>
    <row r="31" spans="1:22" x14ac:dyDescent="0.2">
      <c r="A31" s="164">
        <f t="shared" si="0"/>
        <v>23</v>
      </c>
      <c r="B31" s="118" t="s">
        <v>728</v>
      </c>
      <c r="C31" s="185"/>
      <c r="D31" s="137"/>
      <c r="E31" s="137">
        <f>SUM(C31:D31)</f>
        <v>0</v>
      </c>
      <c r="F31" s="139" t="s">
        <v>5</v>
      </c>
      <c r="G31" s="173"/>
      <c r="H31" s="173"/>
      <c r="I31" s="460"/>
      <c r="J31" s="184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4">
        <f t="shared" si="0"/>
        <v>24</v>
      </c>
      <c r="B32" s="118" t="s">
        <v>727</v>
      </c>
      <c r="C32" s="119"/>
      <c r="D32" s="119"/>
      <c r="E32" s="119"/>
      <c r="F32" s="139" t="s">
        <v>6</v>
      </c>
      <c r="G32" s="182"/>
      <c r="H32" s="182"/>
      <c r="I32" s="460"/>
      <c r="J32" s="184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4">
        <f t="shared" si="0"/>
        <v>25</v>
      </c>
      <c r="B33" s="118" t="s">
        <v>1159</v>
      </c>
      <c r="C33" s="289">
        <f>-(C25+C30)</f>
        <v>1095920</v>
      </c>
      <c r="D33" s="289">
        <f t="shared" ref="D33:E33" si="1">-(D25+D30)</f>
        <v>83256</v>
      </c>
      <c r="E33" s="289">
        <f t="shared" si="1"/>
        <v>1179176</v>
      </c>
      <c r="F33" s="139" t="s">
        <v>7</v>
      </c>
      <c r="G33" s="182"/>
      <c r="H33" s="182"/>
      <c r="I33" s="460"/>
      <c r="J33" s="184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19" t="s">
        <v>729</v>
      </c>
      <c r="C34" s="126"/>
      <c r="D34" s="126"/>
      <c r="E34" s="541"/>
      <c r="F34" s="139" t="s">
        <v>9</v>
      </c>
      <c r="G34" s="173"/>
      <c r="H34" s="173"/>
      <c r="I34" s="457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9" t="s">
        <v>730</v>
      </c>
      <c r="C35" s="119"/>
      <c r="D35" s="119"/>
      <c r="E35" s="119"/>
      <c r="F35" s="139" t="s">
        <v>10</v>
      </c>
      <c r="G35" s="169"/>
      <c r="H35" s="169"/>
      <c r="I35" s="457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731</v>
      </c>
      <c r="C36" s="119"/>
      <c r="D36" s="119"/>
      <c r="E36" s="119"/>
      <c r="F36" s="139" t="s">
        <v>11</v>
      </c>
      <c r="G36" s="169"/>
      <c r="H36" s="169"/>
      <c r="I36" s="457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8" t="s">
        <v>732</v>
      </c>
      <c r="C37" s="119"/>
      <c r="D37" s="119"/>
      <c r="E37" s="119"/>
      <c r="F37" s="139" t="s">
        <v>12</v>
      </c>
      <c r="G37" s="169"/>
      <c r="H37" s="169"/>
      <c r="I37" s="457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8" t="s">
        <v>0</v>
      </c>
      <c r="C38" s="119"/>
      <c r="D38" s="119"/>
      <c r="E38" s="119"/>
      <c r="F38" s="139" t="s">
        <v>13</v>
      </c>
      <c r="G38" s="169"/>
      <c r="H38" s="169"/>
      <c r="I38" s="457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1</v>
      </c>
      <c r="C39" s="119"/>
      <c r="D39" s="119"/>
      <c r="E39" s="119"/>
      <c r="F39" s="139" t="s">
        <v>14</v>
      </c>
      <c r="G39" s="169"/>
      <c r="H39" s="169"/>
      <c r="I39" s="457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2</v>
      </c>
      <c r="C40" s="119"/>
      <c r="D40" s="119"/>
      <c r="E40" s="119"/>
      <c r="F40" s="139" t="s">
        <v>15</v>
      </c>
      <c r="G40" s="169"/>
      <c r="H40" s="169"/>
      <c r="I40" s="457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4">
        <f t="shared" si="0"/>
        <v>33</v>
      </c>
      <c r="B41" s="178" t="s">
        <v>474</v>
      </c>
      <c r="C41" s="526">
        <f>SUM(C29:C39)</f>
        <v>2339080</v>
      </c>
      <c r="D41" s="526">
        <f>SUM(D29:D39)</f>
        <v>83256</v>
      </c>
      <c r="E41" s="126">
        <f>SUM(E29:E39)</f>
        <v>2422336</v>
      </c>
      <c r="F41" s="140" t="s">
        <v>467</v>
      </c>
      <c r="G41" s="173">
        <f>SUM(G29:G40)</f>
        <v>0</v>
      </c>
      <c r="H41" s="173">
        <f>SUM(H29:H40)</f>
        <v>0</v>
      </c>
      <c r="I41" s="464">
        <f>SUM(I29:I40)</f>
        <v>0</v>
      </c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4">
        <f t="shared" si="0"/>
        <v>34</v>
      </c>
      <c r="B42" s="186" t="s">
        <v>469</v>
      </c>
      <c r="C42" s="187">
        <f>C23+C26+C41</f>
        <v>2339080</v>
      </c>
      <c r="D42" s="187">
        <f>D23+D26+D41</f>
        <v>86126</v>
      </c>
      <c r="E42" s="187">
        <f>E23+E26+E41</f>
        <v>2425206</v>
      </c>
      <c r="F42" s="611" t="s">
        <v>468</v>
      </c>
      <c r="G42" s="189">
        <f>G23+G41</f>
        <v>2339080</v>
      </c>
      <c r="H42" s="189">
        <f>H23+H41</f>
        <v>86126</v>
      </c>
      <c r="I42" s="610">
        <f>I23+I41</f>
        <v>2425206</v>
      </c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3"/>
      <c r="C43" s="182"/>
      <c r="D43" s="182"/>
      <c r="E43" s="182"/>
      <c r="F43" s="182"/>
      <c r="G43" s="182"/>
      <c r="H43" s="182"/>
      <c r="I43" s="182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87" customWidth="1"/>
    <col min="2" max="2" width="71.7109375" style="387" customWidth="1"/>
    <col min="3" max="3" width="13.5703125" style="387" customWidth="1"/>
    <col min="4" max="4" width="9.140625" style="375"/>
    <col min="5" max="16384" width="9.140625" style="376"/>
  </cols>
  <sheetData>
    <row r="2" spans="1:4" ht="20.100000000000001" customHeight="1" x14ac:dyDescent="0.25">
      <c r="A2" s="376"/>
      <c r="B2" s="1367" t="s">
        <v>1250</v>
      </c>
      <c r="C2" s="1367"/>
    </row>
    <row r="3" spans="1:4" ht="20.100000000000001" customHeight="1" x14ac:dyDescent="0.25">
      <c r="A3" s="376"/>
      <c r="B3" s="470"/>
      <c r="C3" s="470"/>
    </row>
    <row r="4" spans="1:4" ht="20.100000000000001" customHeight="1" x14ac:dyDescent="0.25">
      <c r="A4" s="376"/>
      <c r="B4" s="1369" t="s">
        <v>78</v>
      </c>
      <c r="C4" s="1369"/>
    </row>
    <row r="5" spans="1:4" ht="20.100000000000001" customHeight="1" x14ac:dyDescent="0.25">
      <c r="A5" s="376"/>
      <c r="B5" s="1369" t="s">
        <v>1129</v>
      </c>
      <c r="C5" s="1369"/>
    </row>
    <row r="6" spans="1:4" ht="20.100000000000001" customHeight="1" x14ac:dyDescent="0.25">
      <c r="A6" s="376"/>
      <c r="B6" s="1369" t="s">
        <v>439</v>
      </c>
      <c r="C6" s="1369"/>
    </row>
    <row r="7" spans="1:4" s="378" customFormat="1" ht="20.100000000000001" customHeight="1" x14ac:dyDescent="0.25">
      <c r="B7" s="1369"/>
      <c r="C7" s="1369"/>
      <c r="D7" s="377"/>
    </row>
    <row r="8" spans="1:4" s="378" customFormat="1" ht="20.100000000000001" customHeight="1" x14ac:dyDescent="0.25">
      <c r="B8" s="471"/>
      <c r="C8" s="471"/>
      <c r="D8" s="377"/>
    </row>
    <row r="9" spans="1:4" s="380" customFormat="1" ht="20.100000000000001" customHeight="1" x14ac:dyDescent="0.25">
      <c r="B9" s="472"/>
      <c r="C9" s="473" t="s">
        <v>336</v>
      </c>
      <c r="D9" s="379"/>
    </row>
    <row r="10" spans="1:4" ht="20.100000000000001" customHeight="1" x14ac:dyDescent="0.25">
      <c r="A10" s="1368"/>
      <c r="B10" s="474" t="s">
        <v>57</v>
      </c>
      <c r="C10" s="474" t="s">
        <v>58</v>
      </c>
    </row>
    <row r="11" spans="1:4" s="380" customFormat="1" ht="30.75" customHeight="1" x14ac:dyDescent="0.25">
      <c r="A11" s="1368"/>
      <c r="B11" s="475" t="s">
        <v>86</v>
      </c>
      <c r="C11" s="475" t="s">
        <v>440</v>
      </c>
      <c r="D11" s="379"/>
    </row>
    <row r="12" spans="1:4" ht="22.5" customHeight="1" x14ac:dyDescent="0.25">
      <c r="A12" s="476"/>
      <c r="B12" s="376"/>
      <c r="C12" s="376"/>
    </row>
    <row r="13" spans="1:4" ht="51" customHeight="1" x14ac:dyDescent="0.25">
      <c r="A13" s="477" t="s">
        <v>508</v>
      </c>
      <c r="B13" s="478" t="s">
        <v>1203</v>
      </c>
      <c r="C13" s="778">
        <v>169769</v>
      </c>
    </row>
    <row r="14" spans="1:4" ht="20.100000000000001" customHeight="1" x14ac:dyDescent="0.25">
      <c r="A14" s="476"/>
      <c r="B14" s="376"/>
      <c r="C14" s="779"/>
    </row>
    <row r="15" spans="1:4" ht="35.25" customHeight="1" x14ac:dyDescent="0.25">
      <c r="A15" s="477" t="s">
        <v>516</v>
      </c>
      <c r="B15" s="479" t="s">
        <v>1226</v>
      </c>
      <c r="C15" s="778">
        <v>1467</v>
      </c>
    </row>
    <row r="16" spans="1:4" ht="20.100000000000001" customHeight="1" x14ac:dyDescent="0.25">
      <c r="A16" s="476"/>
      <c r="B16" s="376"/>
      <c r="C16" s="779"/>
    </row>
    <row r="17" spans="1:4" ht="36" customHeight="1" x14ac:dyDescent="0.25">
      <c r="A17" s="477" t="s">
        <v>517</v>
      </c>
      <c r="B17" s="480" t="s">
        <v>441</v>
      </c>
      <c r="C17" s="780">
        <v>547</v>
      </c>
    </row>
    <row r="18" spans="1:4" ht="20.100000000000001" customHeight="1" x14ac:dyDescent="0.25">
      <c r="A18" s="476"/>
      <c r="B18" s="481"/>
      <c r="C18" s="779"/>
    </row>
    <row r="19" spans="1:4" s="378" customFormat="1" ht="20.100000000000001" customHeight="1" x14ac:dyDescent="0.25">
      <c r="A19" s="476" t="s">
        <v>518</v>
      </c>
      <c r="B19" s="378" t="s">
        <v>442</v>
      </c>
      <c r="C19" s="781">
        <f>SUM(C13:C18)</f>
        <v>171783</v>
      </c>
      <c r="D19" s="377"/>
    </row>
    <row r="20" spans="1:4" ht="20.100000000000001" customHeight="1" x14ac:dyDescent="0.25">
      <c r="A20" s="376"/>
      <c r="B20" s="376"/>
      <c r="C20" s="779"/>
    </row>
    <row r="21" spans="1:4" ht="20.100000000000001" customHeight="1" x14ac:dyDescent="0.25">
      <c r="C21" s="388"/>
    </row>
    <row r="22" spans="1:4" ht="20.100000000000001" customHeight="1" x14ac:dyDescent="0.25">
      <c r="C22" s="388"/>
    </row>
    <row r="23" spans="1:4" ht="20.100000000000001" customHeight="1" x14ac:dyDescent="0.25">
      <c r="C23" s="388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activeCell="N28" sqref="N28"/>
    </sheetView>
  </sheetViews>
  <sheetFormatPr defaultColWidth="10.28515625" defaultRowHeight="12.75" x14ac:dyDescent="0.2"/>
  <cols>
    <col min="1" max="1" width="3.140625" style="381" customWidth="1"/>
    <col min="2" max="2" width="29.28515625" style="381" customWidth="1"/>
    <col min="3" max="3" width="16.85546875" style="381" bestFit="1" customWidth="1"/>
    <col min="4" max="4" width="15.5703125" style="381" customWidth="1"/>
    <col min="5" max="5" width="9.85546875" style="381" bestFit="1" customWidth="1"/>
    <col min="6" max="6" width="12.85546875" style="381" customWidth="1"/>
    <col min="7" max="8" width="14.5703125" style="381" customWidth="1"/>
    <col min="9" max="9" width="10.7109375" style="381" customWidth="1"/>
    <col min="10" max="10" width="10.5703125" style="381" customWidth="1"/>
    <col min="11" max="11" width="10.28515625" style="381" customWidth="1"/>
    <col min="12" max="12" width="10.28515625" style="381"/>
    <col min="13" max="16384" width="10.28515625" style="386"/>
  </cols>
  <sheetData>
    <row r="1" spans="1:12" s="381" customFormat="1" x14ac:dyDescent="0.2">
      <c r="A1" s="1370" t="s">
        <v>1251</v>
      </c>
      <c r="B1" s="1370"/>
      <c r="C1" s="1370"/>
      <c r="D1" s="1370"/>
      <c r="E1" s="1370"/>
      <c r="F1" s="1370"/>
      <c r="G1" s="1370"/>
      <c r="H1" s="1370"/>
      <c r="I1" s="1370"/>
      <c r="J1" s="1370"/>
    </row>
    <row r="2" spans="1:12" s="381" customFormat="1" ht="14.1" customHeight="1" x14ac:dyDescent="0.2"/>
    <row r="3" spans="1:12" s="381" customFormat="1" ht="15" customHeight="1" x14ac:dyDescent="0.25">
      <c r="B3" s="1372" t="s">
        <v>78</v>
      </c>
      <c r="C3" s="1372"/>
      <c r="D3" s="1372"/>
      <c r="E3" s="1372"/>
      <c r="F3" s="1372"/>
      <c r="G3" s="1372"/>
      <c r="H3" s="1372"/>
      <c r="I3" s="1372"/>
      <c r="J3" s="1372"/>
    </row>
    <row r="4" spans="1:12" s="381" customFormat="1" ht="15" customHeight="1" x14ac:dyDescent="0.25">
      <c r="B4" s="1372" t="s">
        <v>1129</v>
      </c>
      <c r="C4" s="1372"/>
      <c r="D4" s="1372"/>
      <c r="E4" s="1372"/>
      <c r="F4" s="1372"/>
      <c r="G4" s="1372"/>
      <c r="H4" s="1372"/>
      <c r="I4" s="1372"/>
      <c r="J4" s="1372"/>
    </row>
    <row r="5" spans="1:12" s="381" customFormat="1" ht="15" customHeight="1" x14ac:dyDescent="0.25">
      <c r="B5" s="1372" t="s">
        <v>443</v>
      </c>
      <c r="C5" s="1372"/>
      <c r="D5" s="1372"/>
      <c r="E5" s="1372"/>
      <c r="F5" s="1372"/>
      <c r="G5" s="1372"/>
      <c r="H5" s="1372"/>
      <c r="I5" s="1372"/>
      <c r="J5" s="1372"/>
    </row>
    <row r="6" spans="1:12" s="381" customFormat="1" ht="15" customHeight="1" x14ac:dyDescent="0.25">
      <c r="B6" s="1372"/>
      <c r="C6" s="1372"/>
      <c r="D6" s="1372"/>
      <c r="E6" s="1372"/>
      <c r="F6" s="1372"/>
      <c r="G6" s="1372"/>
      <c r="H6" s="1372"/>
      <c r="I6" s="1372"/>
      <c r="J6" s="1372"/>
    </row>
    <row r="7" spans="1:12" s="381" customFormat="1" ht="15" customHeight="1" x14ac:dyDescent="0.25">
      <c r="B7" s="1380" t="s">
        <v>336</v>
      </c>
      <c r="C7" s="1380"/>
      <c r="D7" s="1380"/>
      <c r="E7" s="1380"/>
      <c r="F7" s="1380"/>
      <c r="G7" s="1380"/>
      <c r="H7" s="1380"/>
      <c r="I7" s="1380"/>
      <c r="J7" s="1380"/>
    </row>
    <row r="8" spans="1:12" s="382" customFormat="1" ht="14.1" customHeight="1" x14ac:dyDescent="0.25">
      <c r="A8" s="1371"/>
      <c r="B8" s="1078" t="s">
        <v>57</v>
      </c>
      <c r="C8" s="1078" t="s">
        <v>58</v>
      </c>
      <c r="D8" s="1078" t="s">
        <v>59</v>
      </c>
      <c r="E8" s="1078" t="s">
        <v>60</v>
      </c>
      <c r="F8" s="1078" t="s">
        <v>499</v>
      </c>
      <c r="G8" s="1078" t="s">
        <v>500</v>
      </c>
      <c r="H8" s="1078" t="s">
        <v>501</v>
      </c>
      <c r="I8" s="1078" t="s">
        <v>629</v>
      </c>
      <c r="J8" s="1078" t="s">
        <v>640</v>
      </c>
    </row>
    <row r="9" spans="1:12" s="383" customFormat="1" ht="17.25" customHeight="1" x14ac:dyDescent="0.25">
      <c r="A9" s="1371"/>
      <c r="B9" s="1374" t="s">
        <v>86</v>
      </c>
      <c r="C9" s="1376" t="s">
        <v>444</v>
      </c>
      <c r="D9" s="1376" t="s">
        <v>1204</v>
      </c>
      <c r="E9" s="1374" t="s">
        <v>445</v>
      </c>
      <c r="F9" s="1378" t="s">
        <v>446</v>
      </c>
      <c r="G9" s="1374" t="s">
        <v>447</v>
      </c>
      <c r="H9" s="1376" t="s">
        <v>969</v>
      </c>
      <c r="I9" s="1373" t="s">
        <v>448</v>
      </c>
      <c r="J9" s="1373"/>
    </row>
    <row r="10" spans="1:12" s="383" customFormat="1" ht="30" customHeight="1" x14ac:dyDescent="0.25">
      <c r="A10" s="1371"/>
      <c r="B10" s="1375"/>
      <c r="C10" s="1377"/>
      <c r="D10" s="1377"/>
      <c r="E10" s="1375"/>
      <c r="F10" s="1379"/>
      <c r="G10" s="1375"/>
      <c r="H10" s="1377"/>
      <c r="I10" s="1078" t="s">
        <v>449</v>
      </c>
      <c r="J10" s="1078" t="s">
        <v>450</v>
      </c>
    </row>
    <row r="11" spans="1:12" s="382" customFormat="1" ht="16.5" customHeight="1" x14ac:dyDescent="0.25">
      <c r="A11" s="384" t="s">
        <v>508</v>
      </c>
      <c r="B11" s="390" t="s">
        <v>451</v>
      </c>
    </row>
    <row r="12" spans="1:12" s="382" customFormat="1" ht="15" customHeight="1" x14ac:dyDescent="0.25">
      <c r="A12" s="384" t="s">
        <v>516</v>
      </c>
      <c r="B12" s="382" t="s">
        <v>452</v>
      </c>
      <c r="C12" s="391"/>
      <c r="D12" s="391"/>
      <c r="E12" s="392"/>
      <c r="F12" s="392"/>
      <c r="G12" s="392"/>
      <c r="H12" s="391"/>
      <c r="I12" s="392"/>
      <c r="J12" s="392"/>
    </row>
    <row r="13" spans="1:12" s="382" customFormat="1" ht="15" customHeight="1" x14ac:dyDescent="0.25">
      <c r="A13" s="384" t="s">
        <v>517</v>
      </c>
      <c r="B13" s="393" t="s">
        <v>453</v>
      </c>
      <c r="C13" s="394">
        <v>500</v>
      </c>
      <c r="D13" s="395">
        <v>75</v>
      </c>
      <c r="E13" s="396" t="s">
        <v>454</v>
      </c>
      <c r="F13" s="396" t="s">
        <v>455</v>
      </c>
      <c r="G13" s="396" t="s">
        <v>455</v>
      </c>
      <c r="H13" s="395">
        <v>50</v>
      </c>
      <c r="I13" s="397">
        <v>0</v>
      </c>
      <c r="J13" s="396" t="s">
        <v>456</v>
      </c>
    </row>
    <row r="14" spans="1:12" s="383" customFormat="1" ht="15" customHeight="1" x14ac:dyDescent="0.25">
      <c r="A14" s="384" t="s">
        <v>518</v>
      </c>
      <c r="B14" s="393" t="s">
        <v>457</v>
      </c>
      <c r="C14" s="394">
        <v>25130</v>
      </c>
      <c r="D14" s="394">
        <v>15303</v>
      </c>
      <c r="E14" s="396" t="s">
        <v>454</v>
      </c>
      <c r="F14" s="396" t="s">
        <v>455</v>
      </c>
      <c r="G14" s="396" t="s">
        <v>455</v>
      </c>
      <c r="H14" s="394">
        <v>2508</v>
      </c>
      <c r="I14" s="397">
        <v>0</v>
      </c>
      <c r="J14" s="396" t="s">
        <v>456</v>
      </c>
    </row>
    <row r="15" spans="1:12" s="385" customFormat="1" ht="16.5" customHeight="1" x14ac:dyDescent="0.25">
      <c r="A15" s="384" t="s">
        <v>519</v>
      </c>
      <c r="B15" s="383" t="s">
        <v>458</v>
      </c>
      <c r="C15" s="398">
        <f>SUM(C13:C14)</f>
        <v>25630</v>
      </c>
      <c r="D15" s="398">
        <f>SUM(D13:D14)</f>
        <v>15378</v>
      </c>
      <c r="E15" s="399"/>
      <c r="F15" s="399"/>
      <c r="G15" s="399"/>
      <c r="H15" s="398">
        <f>SUM(H13:H14)</f>
        <v>2558</v>
      </c>
      <c r="I15" s="397"/>
      <c r="J15" s="396" t="s">
        <v>456</v>
      </c>
      <c r="K15" s="382"/>
      <c r="L15" s="382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94" customWidth="1"/>
    <col min="2" max="2" width="9.85546875" style="194" hidden="1" customWidth="1"/>
    <col min="3" max="3" width="11.7109375" style="194" hidden="1" customWidth="1"/>
    <col min="4" max="4" width="9.85546875" style="194" hidden="1" customWidth="1"/>
    <col min="5" max="5" width="15.85546875" style="198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61" t="s">
        <v>1230</v>
      </c>
      <c r="B1" s="1161"/>
      <c r="C1" s="1161"/>
      <c r="D1" s="1161"/>
      <c r="E1" s="1161"/>
      <c r="F1" s="1161"/>
      <c r="G1" s="1161"/>
      <c r="H1" s="1161"/>
      <c r="I1" s="1161"/>
    </row>
    <row r="2" spans="1:256" x14ac:dyDescent="0.2">
      <c r="F2" s="1171"/>
      <c r="G2" s="1171"/>
      <c r="H2" s="1171"/>
      <c r="I2" s="1171"/>
    </row>
    <row r="4" spans="1:256" ht="30" customHeight="1" x14ac:dyDescent="0.2">
      <c r="A4" s="1172" t="s">
        <v>78</v>
      </c>
      <c r="B4" s="1172"/>
      <c r="C4" s="1172"/>
      <c r="D4" s="1172"/>
      <c r="E4" s="1172"/>
      <c r="F4" s="1173"/>
      <c r="G4" s="1173"/>
      <c r="H4" s="1173"/>
      <c r="I4" s="1173"/>
    </row>
    <row r="5" spans="1:256" ht="33" customHeight="1" x14ac:dyDescent="0.2">
      <c r="A5" s="1172" t="s">
        <v>1137</v>
      </c>
      <c r="B5" s="1172"/>
      <c r="C5" s="1172"/>
      <c r="D5" s="1172"/>
      <c r="E5" s="1172"/>
      <c r="F5" s="1173"/>
      <c r="G5" s="1173"/>
      <c r="H5" s="1173"/>
      <c r="I5" s="1173"/>
    </row>
    <row r="7" spans="1:256" ht="13.5" thickBot="1" x14ac:dyDescent="0.25">
      <c r="E7" s="566" t="s">
        <v>20</v>
      </c>
      <c r="F7" s="1057"/>
    </row>
    <row r="8" spans="1:256" ht="30.75" customHeight="1" thickBot="1" x14ac:dyDescent="0.25">
      <c r="A8" s="1164" t="s">
        <v>79</v>
      </c>
      <c r="B8" s="1166" t="s">
        <v>116</v>
      </c>
      <c r="C8" s="1167"/>
      <c r="D8" s="1167"/>
      <c r="E8" s="1167"/>
      <c r="F8" s="1168" t="s">
        <v>1090</v>
      </c>
      <c r="G8" s="1169"/>
      <c r="H8" s="1169"/>
      <c r="I8" s="1170"/>
    </row>
    <row r="9" spans="1:256" ht="36.75" thickBot="1" x14ac:dyDescent="0.25">
      <c r="A9" s="1165"/>
      <c r="B9" s="290" t="s">
        <v>80</v>
      </c>
      <c r="C9" s="195" t="s">
        <v>81</v>
      </c>
      <c r="D9" s="195" t="s">
        <v>722</v>
      </c>
      <c r="E9" s="291" t="s">
        <v>82</v>
      </c>
      <c r="F9" s="290" t="s">
        <v>80</v>
      </c>
      <c r="G9" s="195" t="s">
        <v>81</v>
      </c>
      <c r="H9" s="195" t="s">
        <v>722</v>
      </c>
      <c r="I9" s="291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78" t="s">
        <v>83</v>
      </c>
      <c r="B10" s="579"/>
      <c r="C10" s="579"/>
      <c r="D10" s="579"/>
      <c r="E10" s="579"/>
      <c r="F10" s="580"/>
      <c r="G10" s="580"/>
      <c r="H10" s="580"/>
      <c r="I10" s="580"/>
      <c r="J10" s="613"/>
    </row>
    <row r="11" spans="1:256" ht="12.75" x14ac:dyDescent="0.2">
      <c r="A11" s="573" t="s">
        <v>862</v>
      </c>
      <c r="B11" s="718"/>
      <c r="C11" s="718"/>
      <c r="D11" s="718"/>
      <c r="E11" s="718"/>
      <c r="F11" s="782"/>
      <c r="G11" s="782"/>
      <c r="H11" s="782"/>
      <c r="I11" s="782"/>
      <c r="J11" s="613"/>
    </row>
    <row r="12" spans="1:256" ht="36" x14ac:dyDescent="0.2">
      <c r="A12" s="715" t="s">
        <v>863</v>
      </c>
      <c r="B12" s="718">
        <v>4865</v>
      </c>
      <c r="C12" s="783">
        <v>18.690000000000001</v>
      </c>
      <c r="D12" s="718">
        <v>4580000</v>
      </c>
      <c r="E12" s="718">
        <f>C12*D12</f>
        <v>85600200</v>
      </c>
      <c r="F12" s="830" t="s">
        <v>1091</v>
      </c>
      <c r="G12" s="568">
        <v>18.32</v>
      </c>
      <c r="H12" s="568">
        <v>4580000</v>
      </c>
      <c r="I12" s="569">
        <f>G12*H12</f>
        <v>83905600</v>
      </c>
      <c r="J12" s="613"/>
    </row>
    <row r="13" spans="1:256" ht="12.75" x14ac:dyDescent="0.2">
      <c r="A13" s="573" t="s">
        <v>864</v>
      </c>
      <c r="B13" s="718"/>
      <c r="C13" s="718"/>
      <c r="D13" s="718"/>
      <c r="E13" s="718"/>
      <c r="F13" s="672"/>
      <c r="G13" s="723"/>
      <c r="H13" s="723"/>
      <c r="I13" s="672"/>
      <c r="J13" s="613"/>
    </row>
    <row r="14" spans="1:256" ht="12.75" x14ac:dyDescent="0.2">
      <c r="A14" s="715" t="s">
        <v>865</v>
      </c>
      <c r="B14" s="718"/>
      <c r="C14" s="727"/>
      <c r="D14" s="718" t="s">
        <v>313</v>
      </c>
      <c r="E14" s="718">
        <v>8328800</v>
      </c>
      <c r="F14" s="672"/>
      <c r="G14" s="723"/>
      <c r="H14" s="568" t="s">
        <v>313</v>
      </c>
      <c r="I14" s="569">
        <v>8329050</v>
      </c>
      <c r="J14" s="613"/>
    </row>
    <row r="15" spans="1:256" ht="12.75" x14ac:dyDescent="0.2">
      <c r="A15" s="715" t="s">
        <v>866</v>
      </c>
      <c r="B15" s="570"/>
      <c r="C15" s="571"/>
      <c r="D15" s="570"/>
      <c r="E15" s="570"/>
      <c r="F15" s="569"/>
      <c r="G15" s="568"/>
      <c r="H15" s="568"/>
      <c r="I15" s="569">
        <v>-8329050</v>
      </c>
      <c r="J15" s="613"/>
    </row>
    <row r="16" spans="1:256" ht="24" x14ac:dyDescent="0.2">
      <c r="A16" s="715" t="s">
        <v>867</v>
      </c>
      <c r="B16" s="570"/>
      <c r="C16" s="571"/>
      <c r="D16" s="570"/>
      <c r="E16" s="570"/>
      <c r="F16" s="569"/>
      <c r="G16" s="568"/>
      <c r="H16" s="568"/>
      <c r="I16" s="569">
        <f>I14+I15</f>
        <v>0</v>
      </c>
      <c r="J16" s="613"/>
    </row>
    <row r="17" spans="1:10" ht="12.75" x14ac:dyDescent="0.2">
      <c r="A17" s="573" t="s">
        <v>868</v>
      </c>
      <c r="B17" s="718"/>
      <c r="C17" s="718"/>
      <c r="D17" s="786" t="s">
        <v>314</v>
      </c>
      <c r="E17" s="718">
        <v>18272000</v>
      </c>
      <c r="F17" s="672"/>
      <c r="G17" s="723"/>
      <c r="H17" s="568" t="s">
        <v>315</v>
      </c>
      <c r="I17" s="569">
        <v>18304000</v>
      </c>
      <c r="J17" s="613"/>
    </row>
    <row r="18" spans="1:10" ht="12.75" x14ac:dyDescent="0.2">
      <c r="A18" s="573" t="s">
        <v>866</v>
      </c>
      <c r="B18" s="570"/>
      <c r="C18" s="570"/>
      <c r="D18" s="717"/>
      <c r="E18" s="570"/>
      <c r="F18" s="569"/>
      <c r="G18" s="568"/>
      <c r="H18" s="568"/>
      <c r="I18" s="569">
        <v>-18304000</v>
      </c>
      <c r="J18" s="613"/>
    </row>
    <row r="19" spans="1:10" ht="12.75" x14ac:dyDescent="0.2">
      <c r="A19" s="573" t="s">
        <v>869</v>
      </c>
      <c r="B19" s="570"/>
      <c r="C19" s="570"/>
      <c r="D19" s="717"/>
      <c r="E19" s="570"/>
      <c r="F19" s="569"/>
      <c r="G19" s="568"/>
      <c r="H19" s="568"/>
      <c r="I19" s="569">
        <f>I17+I18</f>
        <v>0</v>
      </c>
      <c r="J19" s="613"/>
    </row>
    <row r="20" spans="1:10" ht="12.75" x14ac:dyDescent="0.2">
      <c r="A20" s="573" t="s">
        <v>870</v>
      </c>
      <c r="B20" s="718"/>
      <c r="C20" s="718" t="s">
        <v>871</v>
      </c>
      <c r="D20" s="719" t="s">
        <v>723</v>
      </c>
      <c r="E20" s="718">
        <v>1355022</v>
      </c>
      <c r="F20" s="672"/>
      <c r="G20" s="718"/>
      <c r="H20" s="720" t="s">
        <v>723</v>
      </c>
      <c r="I20" s="569">
        <v>1355022</v>
      </c>
      <c r="J20" s="613"/>
    </row>
    <row r="21" spans="1:10" ht="12.75" x14ac:dyDescent="0.2">
      <c r="A21" s="573" t="s">
        <v>872</v>
      </c>
      <c r="B21" s="570"/>
      <c r="C21" s="570"/>
      <c r="D21" s="720"/>
      <c r="E21" s="570"/>
      <c r="F21" s="569"/>
      <c r="G21" s="570"/>
      <c r="H21" s="720"/>
      <c r="I21" s="569">
        <v>-1355022</v>
      </c>
      <c r="J21" s="613"/>
    </row>
    <row r="22" spans="1:10" ht="12.75" x14ac:dyDescent="0.2">
      <c r="A22" s="573" t="s">
        <v>873</v>
      </c>
      <c r="B22" s="570"/>
      <c r="C22" s="570"/>
      <c r="D22" s="720"/>
      <c r="E22" s="570"/>
      <c r="F22" s="569"/>
      <c r="G22" s="570"/>
      <c r="H22" s="720"/>
      <c r="I22" s="569">
        <f>I20+I21</f>
        <v>0</v>
      </c>
      <c r="J22" s="613"/>
    </row>
    <row r="23" spans="1:10" ht="12.75" x14ac:dyDescent="0.2">
      <c r="A23" s="573" t="s">
        <v>874</v>
      </c>
      <c r="B23" s="718"/>
      <c r="C23" s="727"/>
      <c r="D23" s="786" t="s">
        <v>724</v>
      </c>
      <c r="E23" s="718">
        <v>6369620</v>
      </c>
      <c r="F23" s="672"/>
      <c r="G23" s="723"/>
      <c r="H23" s="717" t="s">
        <v>724</v>
      </c>
      <c r="I23" s="569">
        <v>6369620</v>
      </c>
      <c r="J23" s="613"/>
    </row>
    <row r="24" spans="1:10" ht="12.75" x14ac:dyDescent="0.2">
      <c r="A24" s="573" t="s">
        <v>872</v>
      </c>
      <c r="B24" s="570"/>
      <c r="C24" s="571"/>
      <c r="D24" s="717"/>
      <c r="E24" s="570"/>
      <c r="F24" s="569"/>
      <c r="G24" s="568"/>
      <c r="H24" s="717"/>
      <c r="I24" s="569">
        <v>-6369620</v>
      </c>
      <c r="J24" s="613"/>
    </row>
    <row r="25" spans="1:10" ht="12.75" x14ac:dyDescent="0.2">
      <c r="A25" s="573" t="s">
        <v>875</v>
      </c>
      <c r="B25" s="570"/>
      <c r="C25" s="571"/>
      <c r="D25" s="717"/>
      <c r="E25" s="570"/>
      <c r="F25" s="569"/>
      <c r="G25" s="568"/>
      <c r="H25" s="717"/>
      <c r="I25" s="569">
        <f>I23+I24</f>
        <v>0</v>
      </c>
      <c r="J25" s="613"/>
    </row>
    <row r="26" spans="1:10" ht="12.75" x14ac:dyDescent="0.2">
      <c r="A26" s="573" t="s">
        <v>876</v>
      </c>
      <c r="B26" s="718">
        <v>4865</v>
      </c>
      <c r="C26" s="718"/>
      <c r="D26" s="718">
        <v>2700</v>
      </c>
      <c r="E26" s="718">
        <f>B26*D26</f>
        <v>13135500</v>
      </c>
      <c r="F26" s="569">
        <v>4705</v>
      </c>
      <c r="G26" s="723"/>
      <c r="H26" s="570">
        <v>2700</v>
      </c>
      <c r="I26" s="569">
        <f>F26*H26</f>
        <v>12703500</v>
      </c>
      <c r="J26" s="613"/>
    </row>
    <row r="27" spans="1:10" ht="12.75" x14ac:dyDescent="0.2">
      <c r="A27" s="573" t="s">
        <v>877</v>
      </c>
      <c r="B27" s="570"/>
      <c r="C27" s="570"/>
      <c r="D27" s="570"/>
      <c r="E27" s="570">
        <v>-13135500</v>
      </c>
      <c r="F27" s="569"/>
      <c r="G27" s="568"/>
      <c r="H27" s="568"/>
      <c r="I27" s="569">
        <v>-12703500</v>
      </c>
      <c r="J27" s="613"/>
    </row>
    <row r="28" spans="1:10" ht="12.75" x14ac:dyDescent="0.2">
      <c r="A28" s="573" t="s">
        <v>878</v>
      </c>
      <c r="B28" s="570"/>
      <c r="C28" s="570"/>
      <c r="D28" s="570"/>
      <c r="E28" s="570">
        <f>E26+E27</f>
        <v>0</v>
      </c>
      <c r="F28" s="569"/>
      <c r="G28" s="568"/>
      <c r="H28" s="568"/>
      <c r="I28" s="569">
        <f>I26+I27</f>
        <v>0</v>
      </c>
      <c r="J28" s="613"/>
    </row>
    <row r="29" spans="1:10" ht="12.75" x14ac:dyDescent="0.2">
      <c r="A29" s="573" t="s">
        <v>879</v>
      </c>
      <c r="B29" s="718">
        <v>10</v>
      </c>
      <c r="C29" s="718"/>
      <c r="D29" s="718" t="s">
        <v>316</v>
      </c>
      <c r="E29" s="721">
        <v>25500</v>
      </c>
      <c r="F29" s="569">
        <v>21</v>
      </c>
      <c r="G29" s="723"/>
      <c r="H29" s="570" t="s">
        <v>316</v>
      </c>
      <c r="I29" s="569">
        <v>53550</v>
      </c>
      <c r="J29" s="613"/>
    </row>
    <row r="30" spans="1:10" ht="12.75" x14ac:dyDescent="0.2">
      <c r="A30" s="573" t="s">
        <v>880</v>
      </c>
      <c r="B30" s="570"/>
      <c r="C30" s="570"/>
      <c r="D30" s="570"/>
      <c r="E30" s="570">
        <v>-25500</v>
      </c>
      <c r="F30" s="569"/>
      <c r="G30" s="568"/>
      <c r="H30" s="568"/>
      <c r="I30" s="569">
        <v>-53550</v>
      </c>
      <c r="J30" s="613"/>
    </row>
    <row r="31" spans="1:10" ht="12.75" x14ac:dyDescent="0.2">
      <c r="A31" s="573" t="s">
        <v>881</v>
      </c>
      <c r="B31" s="718"/>
      <c r="C31" s="718"/>
      <c r="D31" s="718"/>
      <c r="E31" s="721">
        <v>0</v>
      </c>
      <c r="F31" s="672"/>
      <c r="G31" s="723"/>
      <c r="H31" s="723"/>
      <c r="I31" s="569">
        <f>I29+I30</f>
        <v>0</v>
      </c>
      <c r="J31" s="613"/>
    </row>
    <row r="32" spans="1:10" ht="12.75" x14ac:dyDescent="0.2">
      <c r="A32" s="785" t="s">
        <v>991</v>
      </c>
      <c r="B32" s="718"/>
      <c r="C32" s="718">
        <v>487729000</v>
      </c>
      <c r="D32" s="727">
        <v>1.55</v>
      </c>
      <c r="E32" s="718">
        <f>C32*D32</f>
        <v>755979950</v>
      </c>
      <c r="F32" s="672"/>
      <c r="G32" s="569">
        <v>540752027</v>
      </c>
      <c r="H32" s="571">
        <v>1</v>
      </c>
      <c r="I32" s="569">
        <f>G32*H32</f>
        <v>540752027</v>
      </c>
      <c r="J32" s="613"/>
    </row>
    <row r="33" spans="1:18" ht="12.75" x14ac:dyDescent="0.2">
      <c r="A33" s="573" t="s">
        <v>877</v>
      </c>
      <c r="B33" s="570"/>
      <c r="C33" s="570"/>
      <c r="D33" s="574"/>
      <c r="E33" s="570">
        <v>-98054262</v>
      </c>
      <c r="F33" s="569"/>
      <c r="G33" s="568"/>
      <c r="H33" s="568"/>
      <c r="I33" s="569">
        <v>-76318159</v>
      </c>
      <c r="J33" s="613"/>
    </row>
    <row r="34" spans="1:18" ht="12.75" x14ac:dyDescent="0.2">
      <c r="A34" s="573" t="s">
        <v>883</v>
      </c>
      <c r="B34" s="718"/>
      <c r="C34" s="718"/>
      <c r="D34" s="732"/>
      <c r="E34" s="718">
        <f>E32+E33</f>
        <v>657925688</v>
      </c>
      <c r="F34" s="672"/>
      <c r="G34" s="723"/>
      <c r="H34" s="723"/>
      <c r="I34" s="569">
        <f>I32+I33</f>
        <v>464433868</v>
      </c>
      <c r="J34" s="613"/>
    </row>
    <row r="35" spans="1:18" ht="12.75" x14ac:dyDescent="0.2">
      <c r="A35" s="722" t="s">
        <v>1092</v>
      </c>
      <c r="B35" s="718"/>
      <c r="C35" s="718"/>
      <c r="D35" s="718"/>
      <c r="E35" s="718">
        <v>0</v>
      </c>
      <c r="F35" s="672"/>
      <c r="G35" s="723"/>
      <c r="H35" s="723"/>
      <c r="I35" s="672">
        <v>0</v>
      </c>
      <c r="J35" s="613"/>
      <c r="K35" s="724">
        <f>I12+I16+I19+I25+I28+I31+I34+I35</f>
        <v>548339468</v>
      </c>
      <c r="L35" s="6" t="s">
        <v>959</v>
      </c>
    </row>
    <row r="36" spans="1:18" ht="24" x14ac:dyDescent="0.2">
      <c r="A36" s="715" t="s">
        <v>1093</v>
      </c>
      <c r="B36" s="718"/>
      <c r="C36" s="718"/>
      <c r="D36" s="718"/>
      <c r="E36" s="718"/>
      <c r="F36" s="672"/>
      <c r="G36" s="723"/>
      <c r="H36" s="723"/>
      <c r="I36" s="569">
        <v>0</v>
      </c>
      <c r="J36" s="613"/>
      <c r="K36" s="724"/>
    </row>
    <row r="37" spans="1:18" ht="12.75" x14ac:dyDescent="0.2">
      <c r="A37" s="722"/>
      <c r="B37" s="718"/>
      <c r="C37" s="718"/>
      <c r="D37" s="718"/>
      <c r="E37" s="718"/>
      <c r="F37" s="672"/>
      <c r="G37" s="723"/>
      <c r="H37" s="723"/>
      <c r="I37" s="672"/>
      <c r="J37" s="613"/>
      <c r="K37" s="724"/>
    </row>
    <row r="38" spans="1:18" ht="12.75" x14ac:dyDescent="0.2">
      <c r="A38" s="725" t="s">
        <v>84</v>
      </c>
      <c r="B38" s="718"/>
      <c r="C38" s="718"/>
      <c r="D38" s="718"/>
      <c r="E38" s="718"/>
      <c r="F38" s="672"/>
      <c r="G38" s="723"/>
      <c r="H38" s="723"/>
      <c r="I38" s="672"/>
      <c r="J38" s="613"/>
    </row>
    <row r="39" spans="1:18" ht="24" x14ac:dyDescent="0.2">
      <c r="A39" s="715" t="s">
        <v>885</v>
      </c>
      <c r="B39" s="718"/>
      <c r="C39" s="718"/>
      <c r="D39" s="718"/>
      <c r="E39" s="718"/>
      <c r="F39" s="672"/>
      <c r="G39" s="723"/>
      <c r="H39" s="723"/>
      <c r="I39" s="672"/>
      <c r="J39" s="613"/>
    </row>
    <row r="40" spans="1:18" ht="12.75" x14ac:dyDescent="0.2">
      <c r="A40" s="715" t="s">
        <v>886</v>
      </c>
      <c r="B40" s="718"/>
      <c r="C40" s="727">
        <v>13.1</v>
      </c>
      <c r="D40" s="718">
        <v>4152000</v>
      </c>
      <c r="E40" s="718">
        <f>C40*D40*8/12</f>
        <v>36260800</v>
      </c>
      <c r="F40" s="1006" t="s">
        <v>1138</v>
      </c>
      <c r="G40" s="787">
        <v>12.5</v>
      </c>
      <c r="H40" s="999">
        <v>4419000</v>
      </c>
      <c r="I40" s="569">
        <f>G40*8/12*4419000</f>
        <v>36825000</v>
      </c>
      <c r="J40" s="613"/>
    </row>
    <row r="41" spans="1:18" ht="12.75" x14ac:dyDescent="0.2">
      <c r="A41" s="715" t="s">
        <v>887</v>
      </c>
      <c r="B41" s="718"/>
      <c r="C41" s="727">
        <v>13.1</v>
      </c>
      <c r="D41" s="728">
        <v>4152000</v>
      </c>
      <c r="E41" s="718">
        <f>C41*D41*4/12</f>
        <v>18130400</v>
      </c>
      <c r="F41" s="1006" t="s">
        <v>1138</v>
      </c>
      <c r="G41" s="726">
        <v>12.5</v>
      </c>
      <c r="H41" s="999">
        <v>4419000</v>
      </c>
      <c r="I41" s="569">
        <f>G41*4/12*H41</f>
        <v>18412500</v>
      </c>
      <c r="J41" s="613"/>
    </row>
    <row r="42" spans="1:18" ht="24" x14ac:dyDescent="0.2">
      <c r="A42" s="715" t="s">
        <v>888</v>
      </c>
      <c r="B42" s="718"/>
      <c r="C42" s="718">
        <v>10</v>
      </c>
      <c r="D42" s="718">
        <v>1800000</v>
      </c>
      <c r="E42" s="721">
        <f>C42*D42*8/12</f>
        <v>12000000</v>
      </c>
      <c r="F42" s="784"/>
      <c r="G42" s="726">
        <v>9</v>
      </c>
      <c r="H42" s="999">
        <v>2205000</v>
      </c>
      <c r="I42" s="569">
        <f>G42*H42*8/12</f>
        <v>13230000</v>
      </c>
      <c r="J42" s="613"/>
    </row>
    <row r="43" spans="1:18" ht="24" x14ac:dyDescent="0.2">
      <c r="A43" s="715" t="s">
        <v>992</v>
      </c>
      <c r="B43" s="718"/>
      <c r="C43" s="718"/>
      <c r="D43" s="718"/>
      <c r="E43" s="721"/>
      <c r="F43" s="672"/>
      <c r="G43" s="726">
        <v>0</v>
      </c>
      <c r="H43" s="999">
        <v>4419000</v>
      </c>
      <c r="I43" s="569">
        <f>G43*H43*8/12</f>
        <v>0</v>
      </c>
      <c r="J43" s="613"/>
    </row>
    <row r="44" spans="1:18" ht="24" x14ac:dyDescent="0.2">
      <c r="A44" s="715" t="s">
        <v>890</v>
      </c>
      <c r="B44" s="718"/>
      <c r="C44" s="718">
        <v>10</v>
      </c>
      <c r="D44" s="718">
        <v>1800000</v>
      </c>
      <c r="E44" s="718">
        <f>C44*D44*4/12</f>
        <v>6000000</v>
      </c>
      <c r="F44" s="672"/>
      <c r="G44" s="726">
        <v>9</v>
      </c>
      <c r="H44" s="999">
        <v>2205000</v>
      </c>
      <c r="I44" s="569">
        <f>G44*H44*4/12</f>
        <v>6615000</v>
      </c>
      <c r="J44" s="614"/>
    </row>
    <row r="45" spans="1:18" ht="39" x14ac:dyDescent="0.2">
      <c r="A45" s="715" t="s">
        <v>993</v>
      </c>
      <c r="B45" s="718"/>
      <c r="C45" s="718"/>
      <c r="D45" s="718"/>
      <c r="E45" s="718"/>
      <c r="F45" s="672"/>
      <c r="G45" s="726">
        <v>0</v>
      </c>
      <c r="H45" s="999">
        <v>4419000</v>
      </c>
      <c r="I45" s="569">
        <f>G45*H45*4/12</f>
        <v>0</v>
      </c>
      <c r="J45" s="614"/>
      <c r="K45" s="895" t="s">
        <v>960</v>
      </c>
      <c r="L45" s="724">
        <f>I12+I14+I17+I20+I23+I26+I29+I32</f>
        <v>671772369</v>
      </c>
      <c r="N45" s="896" t="s">
        <v>1139</v>
      </c>
      <c r="O45" s="724">
        <v>123432901</v>
      </c>
      <c r="P45" s="724">
        <f>I15+I18+I21+I24+I27+I30</f>
        <v>-47114742</v>
      </c>
      <c r="Q45" s="724">
        <f>O45+P45</f>
        <v>76318159</v>
      </c>
      <c r="R45" s="896" t="s">
        <v>961</v>
      </c>
    </row>
    <row r="46" spans="1:18" ht="12.75" x14ac:dyDescent="0.2">
      <c r="A46" s="573" t="s">
        <v>893</v>
      </c>
      <c r="B46" s="718"/>
      <c r="C46" s="718"/>
      <c r="D46" s="718"/>
      <c r="E46" s="718"/>
      <c r="F46" s="672"/>
      <c r="G46" s="723"/>
      <c r="H46" s="723"/>
      <c r="I46" s="672"/>
      <c r="J46" s="613"/>
    </row>
    <row r="47" spans="1:18" ht="24" x14ac:dyDescent="0.2">
      <c r="A47" s="715" t="s">
        <v>994</v>
      </c>
      <c r="B47" s="718"/>
      <c r="C47" s="718">
        <v>142</v>
      </c>
      <c r="D47" s="718">
        <v>70000</v>
      </c>
      <c r="E47" s="718">
        <f>C47*D47*8/12</f>
        <v>6626666.666666667</v>
      </c>
      <c r="F47" s="830"/>
      <c r="G47" s="569">
        <v>138</v>
      </c>
      <c r="H47" s="570">
        <v>81700</v>
      </c>
      <c r="I47" s="569">
        <f>G47*H47*8/12</f>
        <v>7516400</v>
      </c>
      <c r="J47" s="613"/>
    </row>
    <row r="48" spans="1:18" ht="24" x14ac:dyDescent="0.2">
      <c r="A48" s="715" t="s">
        <v>995</v>
      </c>
      <c r="B48" s="718"/>
      <c r="C48" s="718"/>
      <c r="D48" s="718"/>
      <c r="E48" s="718"/>
      <c r="F48" s="830"/>
      <c r="G48" s="569">
        <v>0</v>
      </c>
      <c r="H48" s="570">
        <v>80000</v>
      </c>
      <c r="I48" s="569">
        <v>0</v>
      </c>
      <c r="J48" s="613"/>
    </row>
    <row r="49" spans="1:12" ht="24" x14ac:dyDescent="0.2">
      <c r="A49" s="715" t="s">
        <v>942</v>
      </c>
      <c r="B49" s="718"/>
      <c r="C49" s="718">
        <v>142</v>
      </c>
      <c r="D49" s="718">
        <v>70000</v>
      </c>
      <c r="E49" s="718">
        <f>C49*D49*4/12</f>
        <v>3313333.3333333335</v>
      </c>
      <c r="F49" s="784"/>
      <c r="G49" s="569">
        <v>138</v>
      </c>
      <c r="H49" s="570">
        <v>81700</v>
      </c>
      <c r="I49" s="569">
        <f>G49*H49*4/12</f>
        <v>3758200</v>
      </c>
      <c r="J49" s="613"/>
    </row>
    <row r="50" spans="1:12" ht="24" x14ac:dyDescent="0.2">
      <c r="A50" s="715" t="s">
        <v>996</v>
      </c>
      <c r="B50" s="718"/>
      <c r="C50" s="718"/>
      <c r="D50" s="718"/>
      <c r="E50" s="718"/>
      <c r="F50" s="784"/>
      <c r="G50" s="569">
        <v>0</v>
      </c>
      <c r="H50" s="570">
        <v>80000</v>
      </c>
      <c r="I50" s="569">
        <v>0</v>
      </c>
      <c r="J50" s="613"/>
    </row>
    <row r="51" spans="1:12" ht="12.75" x14ac:dyDescent="0.2">
      <c r="A51" s="573" t="s">
        <v>943</v>
      </c>
      <c r="B51" s="718"/>
      <c r="C51" s="718"/>
      <c r="D51" s="718"/>
      <c r="E51" s="718"/>
      <c r="F51" s="672"/>
      <c r="G51" s="723"/>
      <c r="H51" s="723"/>
      <c r="I51" s="672"/>
      <c r="J51" s="613"/>
    </row>
    <row r="52" spans="1:12" ht="48" x14ac:dyDescent="0.2">
      <c r="A52" s="715" t="s">
        <v>1094</v>
      </c>
      <c r="B52" s="718"/>
      <c r="C52" s="718">
        <v>5</v>
      </c>
      <c r="D52" s="788" t="s">
        <v>317</v>
      </c>
      <c r="E52" s="718">
        <v>1760000</v>
      </c>
      <c r="F52" s="672"/>
      <c r="G52" s="568">
        <v>4</v>
      </c>
      <c r="H52" s="569">
        <v>401000</v>
      </c>
      <c r="I52" s="569">
        <f>G52*H52</f>
        <v>1604000</v>
      </c>
      <c r="J52" s="613"/>
    </row>
    <row r="53" spans="1:12" ht="48" x14ac:dyDescent="0.2">
      <c r="A53" s="715" t="s">
        <v>1095</v>
      </c>
      <c r="B53" s="718"/>
      <c r="C53" s="718"/>
      <c r="D53" s="718"/>
      <c r="E53" s="718"/>
      <c r="F53" s="672"/>
      <c r="G53" s="568">
        <v>0</v>
      </c>
      <c r="H53" s="569">
        <v>367583</v>
      </c>
      <c r="I53" s="569">
        <f>G53*H53</f>
        <v>0</v>
      </c>
      <c r="J53" s="613"/>
      <c r="K53" s="724">
        <f>SUM(I40:I53)</f>
        <v>87961100</v>
      </c>
      <c r="L53" s="6" t="s">
        <v>962</v>
      </c>
    </row>
    <row r="54" spans="1:12" ht="12.75" x14ac:dyDescent="0.2">
      <c r="A54" s="715"/>
      <c r="B54" s="718"/>
      <c r="C54" s="718"/>
      <c r="D54" s="718"/>
      <c r="E54" s="718"/>
      <c r="F54" s="672"/>
      <c r="G54" s="723"/>
      <c r="H54" s="723"/>
      <c r="I54" s="672"/>
      <c r="J54" s="613"/>
      <c r="K54" s="724"/>
    </row>
    <row r="55" spans="1:12" ht="12.75" x14ac:dyDescent="0.2">
      <c r="A55" s="725" t="s">
        <v>85</v>
      </c>
      <c r="B55" s="718"/>
      <c r="C55" s="718"/>
      <c r="D55" s="718"/>
      <c r="E55" s="718"/>
      <c r="F55" s="672"/>
      <c r="G55" s="723"/>
      <c r="H55" s="723"/>
      <c r="I55" s="672"/>
      <c r="J55" s="613"/>
    </row>
    <row r="56" spans="1:12" ht="12.75" x14ac:dyDescent="0.2">
      <c r="A56" s="722" t="s">
        <v>1096</v>
      </c>
      <c r="B56" s="718"/>
      <c r="C56" s="718"/>
      <c r="D56" s="718"/>
      <c r="E56" s="718">
        <v>0</v>
      </c>
      <c r="F56" s="672"/>
      <c r="G56" s="723"/>
      <c r="H56" s="723"/>
      <c r="I56" s="569">
        <v>0</v>
      </c>
      <c r="J56" s="615"/>
    </row>
    <row r="57" spans="1:12" ht="24" x14ac:dyDescent="0.2">
      <c r="A57" s="715" t="s">
        <v>903</v>
      </c>
      <c r="B57" s="718"/>
      <c r="C57" s="718"/>
      <c r="D57" s="718"/>
      <c r="E57" s="721">
        <v>0</v>
      </c>
      <c r="F57" s="672"/>
      <c r="G57" s="723"/>
      <c r="H57" s="723"/>
      <c r="I57" s="569">
        <v>0</v>
      </c>
      <c r="J57" s="613"/>
    </row>
    <row r="58" spans="1:12" ht="12.75" x14ac:dyDescent="0.2">
      <c r="A58" s="573" t="s">
        <v>904</v>
      </c>
      <c r="B58" s="718"/>
      <c r="C58" s="718"/>
      <c r="D58" s="718"/>
      <c r="E58" s="718"/>
      <c r="F58" s="672"/>
      <c r="G58" s="723"/>
      <c r="H58" s="723"/>
      <c r="I58" s="672"/>
      <c r="J58" s="613"/>
    </row>
    <row r="59" spans="1:12" ht="12.75" x14ac:dyDescent="0.2">
      <c r="A59" s="573" t="s">
        <v>905</v>
      </c>
      <c r="B59" s="718"/>
      <c r="C59" s="718"/>
      <c r="D59" s="718"/>
      <c r="E59" s="718"/>
      <c r="F59" s="672"/>
      <c r="G59" s="723"/>
      <c r="H59" s="723"/>
      <c r="I59" s="672"/>
      <c r="J59" s="613"/>
    </row>
    <row r="60" spans="1:12" ht="12.75" x14ac:dyDescent="0.2">
      <c r="A60" s="573" t="s">
        <v>906</v>
      </c>
      <c r="B60" s="718"/>
      <c r="C60" s="718"/>
      <c r="D60" s="718"/>
      <c r="E60" s="718"/>
      <c r="F60" s="672"/>
      <c r="G60" s="723"/>
      <c r="H60" s="723"/>
      <c r="I60" s="672"/>
      <c r="J60" s="613"/>
    </row>
    <row r="61" spans="1:12" ht="36" x14ac:dyDescent="0.2">
      <c r="A61" s="729" t="s">
        <v>1097</v>
      </c>
      <c r="B61" s="722"/>
      <c r="C61" s="731"/>
      <c r="D61" s="718"/>
      <c r="E61" s="718">
        <f>C61*D61/2</f>
        <v>0</v>
      </c>
      <c r="F61" s="570">
        <v>7822</v>
      </c>
      <c r="G61" s="732"/>
      <c r="H61" s="723"/>
      <c r="I61" s="672"/>
      <c r="J61" s="615"/>
    </row>
    <row r="62" spans="1:12" ht="24" x14ac:dyDescent="0.2">
      <c r="A62" s="715" t="s">
        <v>944</v>
      </c>
      <c r="B62" s="718"/>
      <c r="C62" s="722"/>
      <c r="D62" s="718"/>
      <c r="E62" s="718"/>
      <c r="F62" s="672"/>
      <c r="G62" s="575">
        <v>0</v>
      </c>
      <c r="H62" s="723"/>
      <c r="I62" s="672"/>
      <c r="J62" s="615"/>
    </row>
    <row r="63" spans="1:12" ht="12.75" x14ac:dyDescent="0.2">
      <c r="A63" s="573" t="s">
        <v>945</v>
      </c>
      <c r="B63" s="718"/>
      <c r="C63" s="722"/>
      <c r="D63" s="718"/>
      <c r="E63" s="718"/>
      <c r="F63" s="672"/>
      <c r="G63" s="574">
        <v>1</v>
      </c>
      <c r="H63" s="723"/>
      <c r="I63" s="672"/>
      <c r="J63" s="613"/>
    </row>
    <row r="64" spans="1:12" ht="12.75" x14ac:dyDescent="0.2">
      <c r="A64" s="573" t="s">
        <v>910</v>
      </c>
      <c r="B64" s="718"/>
      <c r="C64" s="733">
        <v>0.97299999999999998</v>
      </c>
      <c r="D64" s="718">
        <v>3000000</v>
      </c>
      <c r="E64" s="718"/>
      <c r="F64" s="672"/>
      <c r="G64" s="574">
        <v>2</v>
      </c>
      <c r="H64" s="1000">
        <v>3400000</v>
      </c>
      <c r="I64" s="1004">
        <f>(2*1+0)*3400000</f>
        <v>6800000</v>
      </c>
      <c r="J64" s="613"/>
    </row>
    <row r="65" spans="1:12" ht="12.75" x14ac:dyDescent="0.2">
      <c r="A65" s="573" t="s">
        <v>911</v>
      </c>
      <c r="B65" s="734"/>
      <c r="C65" s="718">
        <v>80</v>
      </c>
      <c r="D65" s="718">
        <v>55360</v>
      </c>
      <c r="E65" s="718">
        <f>C65*D65</f>
        <v>4428800</v>
      </c>
      <c r="F65" s="784"/>
      <c r="G65" s="570">
        <v>80</v>
      </c>
      <c r="H65" s="570">
        <v>55360</v>
      </c>
      <c r="I65" s="570">
        <f>G65*H65</f>
        <v>4428800</v>
      </c>
      <c r="J65" s="613"/>
    </row>
    <row r="66" spans="1:12" ht="12.75" x14ac:dyDescent="0.2">
      <c r="A66" s="573" t="s">
        <v>912</v>
      </c>
      <c r="B66" s="734"/>
      <c r="C66" s="718">
        <v>55</v>
      </c>
      <c r="D66" s="718">
        <v>145000</v>
      </c>
      <c r="E66" s="718">
        <f>C66*D66</f>
        <v>7975000</v>
      </c>
      <c r="F66" s="672"/>
      <c r="G66" s="718"/>
      <c r="H66" s="718"/>
      <c r="I66" s="718"/>
      <c r="J66" s="613"/>
    </row>
    <row r="67" spans="1:12" ht="12.75" x14ac:dyDescent="0.2">
      <c r="A67" s="573" t="s">
        <v>946</v>
      </c>
      <c r="B67" s="734"/>
      <c r="C67" s="718"/>
      <c r="D67" s="718"/>
      <c r="E67" s="718"/>
      <c r="F67" s="784"/>
      <c r="G67" s="570">
        <v>5</v>
      </c>
      <c r="H67" s="570">
        <v>25000</v>
      </c>
      <c r="I67" s="570">
        <f>G67*H67</f>
        <v>125000</v>
      </c>
      <c r="J67" s="613"/>
    </row>
    <row r="68" spans="1:12" ht="12.75" x14ac:dyDescent="0.2">
      <c r="A68" s="573" t="s">
        <v>947</v>
      </c>
      <c r="B68" s="734"/>
      <c r="C68" s="718"/>
      <c r="D68" s="718"/>
      <c r="E68" s="718"/>
      <c r="F68" s="784"/>
      <c r="G68" s="570">
        <v>49</v>
      </c>
      <c r="H68" s="1000">
        <v>330000</v>
      </c>
      <c r="I68" s="1010">
        <f>G68*H68</f>
        <v>16170000</v>
      </c>
      <c r="J68" s="613"/>
    </row>
    <row r="69" spans="1:12" ht="12.75" x14ac:dyDescent="0.2">
      <c r="A69" s="715" t="s">
        <v>948</v>
      </c>
      <c r="B69" s="789"/>
      <c r="C69" s="570">
        <v>23</v>
      </c>
      <c r="D69" s="570">
        <v>109000</v>
      </c>
      <c r="E69" s="570">
        <f>C69*D69</f>
        <v>2507000</v>
      </c>
      <c r="F69" s="569"/>
      <c r="G69" s="570">
        <v>25</v>
      </c>
      <c r="H69" s="570">
        <v>109000</v>
      </c>
      <c r="I69" s="570">
        <f>G69*H69</f>
        <v>2725000</v>
      </c>
      <c r="J69" s="613"/>
    </row>
    <row r="70" spans="1:12" ht="12.75" x14ac:dyDescent="0.2">
      <c r="A70" s="715" t="s">
        <v>914</v>
      </c>
      <c r="B70" s="789"/>
      <c r="C70" s="570"/>
      <c r="D70" s="570"/>
      <c r="E70" s="570"/>
      <c r="F70" s="569"/>
      <c r="G70" s="568"/>
      <c r="H70" s="568"/>
      <c r="I70" s="569"/>
      <c r="J70" s="613"/>
    </row>
    <row r="71" spans="1:12" ht="24" x14ac:dyDescent="0.2">
      <c r="A71" s="715" t="s">
        <v>1098</v>
      </c>
      <c r="B71" s="734"/>
      <c r="C71" s="718"/>
      <c r="D71" s="718"/>
      <c r="E71" s="718"/>
      <c r="F71" s="672"/>
      <c r="G71" s="723"/>
      <c r="H71" s="723"/>
      <c r="I71" s="672"/>
      <c r="J71" s="613"/>
    </row>
    <row r="72" spans="1:12" ht="24" x14ac:dyDescent="0.2">
      <c r="A72" s="729" t="s">
        <v>963</v>
      </c>
      <c r="B72" s="734"/>
      <c r="C72" s="718">
        <v>15</v>
      </c>
      <c r="D72" s="718">
        <v>2606040</v>
      </c>
      <c r="E72" s="718">
        <f>C72*D72</f>
        <v>39090600</v>
      </c>
      <c r="F72" s="784"/>
      <c r="G72" s="570">
        <v>15</v>
      </c>
      <c r="H72" s="1000">
        <v>2848000</v>
      </c>
      <c r="I72" s="570">
        <f>G72*H72</f>
        <v>42720000</v>
      </c>
      <c r="J72" s="613"/>
    </row>
    <row r="73" spans="1:12" ht="12.75" x14ac:dyDescent="0.2">
      <c r="A73" s="573" t="s">
        <v>919</v>
      </c>
      <c r="B73" s="734"/>
      <c r="C73" s="718"/>
      <c r="D73" s="718"/>
      <c r="E73" s="721">
        <v>37834000</v>
      </c>
      <c r="F73" s="784"/>
      <c r="G73" s="723"/>
      <c r="H73" s="723"/>
      <c r="I73" s="1004">
        <v>36824000</v>
      </c>
      <c r="J73" s="617"/>
    </row>
    <row r="74" spans="1:12" ht="12.75" x14ac:dyDescent="0.2">
      <c r="A74" s="573" t="s">
        <v>1100</v>
      </c>
      <c r="B74" s="734"/>
      <c r="C74" s="718"/>
      <c r="D74" s="718"/>
      <c r="E74" s="718"/>
      <c r="F74" s="672"/>
      <c r="G74" s="723"/>
      <c r="H74" s="723"/>
      <c r="I74" s="672"/>
      <c r="J74" s="613"/>
    </row>
    <row r="75" spans="1:12" ht="12.75" x14ac:dyDescent="0.2">
      <c r="A75" s="573" t="s">
        <v>1101</v>
      </c>
      <c r="B75" s="718"/>
      <c r="C75" s="727">
        <v>12.33</v>
      </c>
      <c r="D75" s="718">
        <v>1632000</v>
      </c>
      <c r="E75" s="718">
        <f>C75*D75</f>
        <v>20122560</v>
      </c>
      <c r="F75" s="1060" t="s">
        <v>1140</v>
      </c>
      <c r="G75" s="571">
        <v>14.4</v>
      </c>
      <c r="H75" s="1000">
        <v>1900000</v>
      </c>
      <c r="I75" s="570">
        <f>G75*H75</f>
        <v>27360000</v>
      </c>
      <c r="J75" s="618"/>
    </row>
    <row r="76" spans="1:12" ht="12.75" x14ac:dyDescent="0.2">
      <c r="A76" s="573" t="s">
        <v>1102</v>
      </c>
      <c r="B76" s="718"/>
      <c r="C76" s="718"/>
      <c r="D76" s="718"/>
      <c r="E76" s="721">
        <v>7038795</v>
      </c>
      <c r="F76" s="784"/>
      <c r="G76" s="723"/>
      <c r="H76" s="723"/>
      <c r="I76" s="1004">
        <v>23121669</v>
      </c>
      <c r="J76" s="619"/>
    </row>
    <row r="77" spans="1:12" ht="24" x14ac:dyDescent="0.2">
      <c r="A77" s="715" t="s">
        <v>1103</v>
      </c>
      <c r="B77" s="718"/>
      <c r="C77" s="718"/>
      <c r="D77" s="718"/>
      <c r="E77" s="721"/>
      <c r="F77" s="784"/>
      <c r="G77" s="569">
        <v>0</v>
      </c>
      <c r="H77" s="569">
        <v>285</v>
      </c>
      <c r="I77" s="569">
        <f>G77*H77</f>
        <v>0</v>
      </c>
      <c r="J77" s="613"/>
    </row>
    <row r="78" spans="1:12" ht="12.75" x14ac:dyDescent="0.2">
      <c r="A78" s="715" t="s">
        <v>1104</v>
      </c>
      <c r="B78" s="718"/>
      <c r="C78" s="718"/>
      <c r="D78" s="718"/>
      <c r="E78" s="737"/>
      <c r="F78" s="784"/>
      <c r="G78" s="787"/>
      <c r="H78" s="569"/>
      <c r="I78" s="569"/>
      <c r="J78" s="613"/>
      <c r="K78" s="724">
        <f>SUM(I56:I82)</f>
        <v>174499869</v>
      </c>
      <c r="L78" s="6" t="s">
        <v>964</v>
      </c>
    </row>
    <row r="79" spans="1:12" ht="12.75" x14ac:dyDescent="0.2">
      <c r="A79" s="715" t="s">
        <v>1105</v>
      </c>
      <c r="B79" s="718"/>
      <c r="C79" s="718"/>
      <c r="D79" s="718"/>
      <c r="E79" s="737"/>
      <c r="F79" s="784"/>
      <c r="G79" s="787"/>
      <c r="H79" s="569"/>
      <c r="I79" s="569"/>
      <c r="J79" s="613"/>
      <c r="K79" s="724"/>
    </row>
    <row r="80" spans="1:12" ht="36" x14ac:dyDescent="0.2">
      <c r="A80" s="715" t="s">
        <v>1108</v>
      </c>
      <c r="B80" s="718"/>
      <c r="C80" s="718"/>
      <c r="D80" s="718"/>
      <c r="E80" s="737"/>
      <c r="F80" s="830" t="s">
        <v>1109</v>
      </c>
      <c r="G80" s="787">
        <v>2</v>
      </c>
      <c r="H80" s="569">
        <v>4419000</v>
      </c>
      <c r="I80" s="569">
        <f>G80*H80</f>
        <v>8838000</v>
      </c>
      <c r="J80" s="613"/>
      <c r="K80" s="724"/>
    </row>
    <row r="81" spans="1:14" ht="36" x14ac:dyDescent="0.2">
      <c r="A81" s="715" t="s">
        <v>1178</v>
      </c>
      <c r="B81" s="718"/>
      <c r="C81" s="718"/>
      <c r="D81" s="718"/>
      <c r="E81" s="737"/>
      <c r="F81" s="830" t="s">
        <v>1107</v>
      </c>
      <c r="G81" s="787">
        <v>1.8</v>
      </c>
      <c r="H81" s="569">
        <v>2993000</v>
      </c>
      <c r="I81" s="569">
        <f>G81*H81</f>
        <v>5387400</v>
      </c>
      <c r="J81" s="613"/>
      <c r="K81" s="724"/>
    </row>
    <row r="82" spans="1:14" ht="24" x14ac:dyDescent="0.2">
      <c r="A82" s="715" t="s">
        <v>1110</v>
      </c>
      <c r="B82" s="718"/>
      <c r="C82" s="718"/>
      <c r="D82" s="718"/>
      <c r="E82" s="737"/>
      <c r="F82" s="784"/>
      <c r="G82" s="787"/>
      <c r="H82" s="569">
        <v>0</v>
      </c>
      <c r="I82" s="569">
        <v>0</v>
      </c>
      <c r="J82" s="613"/>
      <c r="K82" s="724"/>
    </row>
    <row r="83" spans="1:14" ht="12.75" x14ac:dyDescent="0.2">
      <c r="A83" s="715"/>
      <c r="B83" s="718"/>
      <c r="C83" s="718"/>
      <c r="D83" s="718"/>
      <c r="E83" s="737"/>
      <c r="F83" s="784"/>
      <c r="G83" s="787"/>
      <c r="H83" s="569"/>
      <c r="I83" s="569"/>
      <c r="J83" s="613"/>
      <c r="K83" s="724"/>
    </row>
    <row r="84" spans="1:14" ht="12.75" x14ac:dyDescent="0.2">
      <c r="A84" s="573" t="s">
        <v>925</v>
      </c>
      <c r="B84" s="718"/>
      <c r="C84" s="718"/>
      <c r="D84" s="718"/>
      <c r="E84" s="737"/>
      <c r="F84" s="672"/>
      <c r="G84" s="723"/>
      <c r="H84" s="723"/>
      <c r="I84" s="672"/>
      <c r="J84" s="613"/>
    </row>
    <row r="85" spans="1:14" ht="12.75" x14ac:dyDescent="0.2">
      <c r="A85" s="573" t="s">
        <v>926</v>
      </c>
      <c r="B85" s="718"/>
      <c r="C85" s="718"/>
      <c r="D85" s="718"/>
      <c r="E85" s="737"/>
      <c r="F85" s="672"/>
      <c r="G85" s="723"/>
      <c r="H85" s="723"/>
      <c r="I85" s="672"/>
      <c r="J85" s="613"/>
    </row>
    <row r="86" spans="1:14" ht="12.75" x14ac:dyDescent="0.2">
      <c r="A86" s="573" t="s">
        <v>927</v>
      </c>
      <c r="B86" s="718"/>
      <c r="C86" s="718">
        <v>4865</v>
      </c>
      <c r="D86" s="718">
        <v>1140</v>
      </c>
      <c r="E86" s="738"/>
      <c r="F86" s="672"/>
      <c r="G86" s="570">
        <v>4705</v>
      </c>
      <c r="H86" s="1000">
        <v>1210</v>
      </c>
      <c r="I86" s="293">
        <f>G86*H86</f>
        <v>5693050</v>
      </c>
      <c r="J86" s="613"/>
    </row>
    <row r="87" spans="1:14" ht="48" x14ac:dyDescent="0.2">
      <c r="A87" s="715" t="s">
        <v>928</v>
      </c>
      <c r="B87" s="718"/>
      <c r="C87" s="718"/>
      <c r="D87" s="718"/>
      <c r="E87" s="738"/>
      <c r="F87" s="830" t="s">
        <v>1111</v>
      </c>
      <c r="G87" s="718"/>
      <c r="H87" s="718"/>
      <c r="I87" s="293">
        <v>0</v>
      </c>
      <c r="J87" s="613"/>
    </row>
    <row r="88" spans="1:14" ht="48" x14ac:dyDescent="0.2">
      <c r="A88" s="715" t="s">
        <v>1112</v>
      </c>
      <c r="B88" s="718"/>
      <c r="C88" s="718"/>
      <c r="D88" s="718"/>
      <c r="E88" s="738"/>
      <c r="F88" s="830" t="s">
        <v>1113</v>
      </c>
      <c r="G88" s="718"/>
      <c r="H88" s="718"/>
      <c r="I88" s="293">
        <v>0</v>
      </c>
      <c r="J88" s="613"/>
    </row>
    <row r="89" spans="1:14" ht="12.75" x14ac:dyDescent="0.2">
      <c r="A89" s="729" t="s">
        <v>1114</v>
      </c>
      <c r="B89" s="734"/>
      <c r="C89" s="718"/>
      <c r="D89" s="732"/>
      <c r="E89" s="718"/>
      <c r="F89" s="672"/>
      <c r="G89" s="723"/>
      <c r="H89" s="723"/>
      <c r="I89" s="672"/>
      <c r="J89" s="613"/>
      <c r="K89" s="724">
        <f>SUM(I86+I87)</f>
        <v>5693050</v>
      </c>
      <c r="L89" s="6" t="s">
        <v>965</v>
      </c>
    </row>
    <row r="90" spans="1:14" ht="24" x14ac:dyDescent="0.2">
      <c r="A90" s="739" t="s">
        <v>1115</v>
      </c>
      <c r="B90" s="790"/>
      <c r="C90" s="791"/>
      <c r="D90" s="570"/>
      <c r="E90" s="570"/>
      <c r="F90" s="792"/>
      <c r="G90" s="568"/>
      <c r="H90" s="568"/>
      <c r="I90" s="672"/>
      <c r="J90" s="613"/>
      <c r="K90" s="724"/>
      <c r="L90" s="724">
        <f>I15+I18+I21+I24+I27+I30+I33</f>
        <v>-123432901</v>
      </c>
      <c r="M90" s="793" t="s">
        <v>966</v>
      </c>
      <c r="N90" s="292"/>
    </row>
    <row r="91" spans="1:14" ht="12.75" x14ac:dyDescent="0.2">
      <c r="A91" s="764" t="s">
        <v>1116</v>
      </c>
      <c r="B91" s="794"/>
      <c r="C91" s="795"/>
      <c r="D91" s="796"/>
      <c r="E91" s="796"/>
      <c r="F91" s="797"/>
      <c r="G91" s="798"/>
      <c r="H91" s="798"/>
      <c r="I91" s="799">
        <v>0</v>
      </c>
      <c r="J91" s="613"/>
      <c r="K91" s="724"/>
      <c r="L91" s="724"/>
      <c r="M91" s="793"/>
      <c r="N91" s="292"/>
    </row>
    <row r="92" spans="1:14" ht="12.75" x14ac:dyDescent="0.2">
      <c r="A92" s="764"/>
      <c r="B92" s="794"/>
      <c r="C92" s="795"/>
      <c r="D92" s="796"/>
      <c r="E92" s="796"/>
      <c r="F92" s="794"/>
      <c r="G92" s="798"/>
      <c r="H92" s="798"/>
      <c r="I92" s="745"/>
      <c r="J92" s="613"/>
      <c r="K92" s="724"/>
      <c r="L92" s="724"/>
      <c r="N92" s="292"/>
    </row>
    <row r="93" spans="1:14" ht="12.75" x14ac:dyDescent="0.2">
      <c r="A93" s="764" t="s">
        <v>949</v>
      </c>
      <c r="B93" s="794"/>
      <c r="C93" s="795"/>
      <c r="D93" s="796"/>
      <c r="E93" s="796"/>
      <c r="F93" s="794"/>
      <c r="G93" s="798"/>
      <c r="H93" s="798"/>
      <c r="I93" s="745"/>
      <c r="J93" s="613"/>
      <c r="K93" s="724"/>
      <c r="L93" s="724"/>
      <c r="N93" s="292"/>
    </row>
    <row r="94" spans="1:14" ht="12.75" x14ac:dyDescent="0.2">
      <c r="A94" s="764" t="s">
        <v>950</v>
      </c>
      <c r="B94" s="794"/>
      <c r="C94" s="795"/>
      <c r="D94" s="796"/>
      <c r="E94" s="796"/>
      <c r="F94" s="794"/>
      <c r="G94" s="798"/>
      <c r="H94" s="798"/>
      <c r="I94" s="799">
        <v>0</v>
      </c>
      <c r="J94" s="613"/>
      <c r="K94" s="724"/>
      <c r="L94" s="724"/>
      <c r="N94" s="292"/>
    </row>
    <row r="95" spans="1:14" ht="12.75" x14ac:dyDescent="0.2">
      <c r="A95" s="765" t="s">
        <v>951</v>
      </c>
      <c r="B95" s="794"/>
      <c r="C95" s="795"/>
      <c r="D95" s="796"/>
      <c r="E95" s="796"/>
      <c r="F95" s="794"/>
      <c r="G95" s="798"/>
      <c r="H95" s="798"/>
      <c r="I95" s="799">
        <v>0</v>
      </c>
      <c r="J95" s="613"/>
      <c r="K95" s="724">
        <f>I94+I95</f>
        <v>0</v>
      </c>
      <c r="L95" s="724" t="s">
        <v>967</v>
      </c>
      <c r="N95" s="292"/>
    </row>
    <row r="96" spans="1:14" ht="13.5" thickBot="1" x14ac:dyDescent="0.25">
      <c r="A96" s="741"/>
      <c r="B96" s="742"/>
      <c r="C96" s="743"/>
      <c r="D96" s="744"/>
      <c r="E96" s="743"/>
      <c r="F96" s="745"/>
      <c r="G96" s="746"/>
      <c r="H96" s="746"/>
      <c r="I96" s="745"/>
      <c r="J96" s="613"/>
    </row>
    <row r="97" spans="1:256" ht="12.75" thickBot="1" x14ac:dyDescent="0.25">
      <c r="A97" s="747" t="s">
        <v>930</v>
      </c>
      <c r="B97" s="748"/>
      <c r="C97" s="748"/>
      <c r="D97" s="749"/>
      <c r="E97" s="750" t="e">
        <f>E12+E14+E17+E20+E23+E28+E31+E34+E40+E41+#REF!+E42+E44+E47+E49+E52+E56+E57+E61+E62+E65+E66+E69+#REF!+E72+E73+E75+E76</f>
        <v>#REF!</v>
      </c>
      <c r="F97" s="1162">
        <f>I12+I16+I19+I22+I25+I28+I31+I34+I35+I36+I40+I41+I42+I43+I44+I45+I47+I48+I49+I50+I52+I53+I56+I57+I64+I65+I67+I68+I69+I72+I73+I75+I76+I77+I80+I81+I82+I86+I87+I88+I94+I95+I91</f>
        <v>816493487</v>
      </c>
      <c r="G97" s="1162"/>
      <c r="H97" s="1162"/>
      <c r="I97" s="1163"/>
      <c r="J97" s="7"/>
      <c r="K97" s="751">
        <f>K78+K53+K35+K89</f>
        <v>816493487</v>
      </c>
      <c r="L97" s="800" t="s">
        <v>968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801"/>
      <c r="B99" s="802"/>
      <c r="C99" s="802"/>
      <c r="D99" s="802"/>
      <c r="E99" s="803"/>
      <c r="F99" s="804"/>
      <c r="G99" s="804"/>
      <c r="H99" s="804"/>
      <c r="I99" s="804"/>
    </row>
    <row r="100" spans="1:256" ht="12.75" x14ac:dyDescent="0.2">
      <c r="A100" s="1001" t="s">
        <v>1162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4" customWidth="1"/>
    <col min="2" max="2" width="9.85546875" style="194" hidden="1" customWidth="1"/>
    <col min="3" max="3" width="11.7109375" style="194" hidden="1" customWidth="1"/>
    <col min="4" max="4" width="9.85546875" style="194" hidden="1" customWidth="1"/>
    <col min="5" max="5" width="15.85546875" style="198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61" t="s">
        <v>312</v>
      </c>
      <c r="C1" s="1161"/>
      <c r="D1" s="1161"/>
      <c r="E1" s="1161"/>
    </row>
    <row r="2" spans="1:10" x14ac:dyDescent="0.2">
      <c r="F2" s="1174"/>
      <c r="G2" s="1174"/>
      <c r="H2" s="1174"/>
      <c r="I2" s="1174"/>
    </row>
    <row r="4" spans="1:10" ht="12.75" x14ac:dyDescent="0.2">
      <c r="A4" s="1172" t="s">
        <v>78</v>
      </c>
      <c r="B4" s="1172"/>
      <c r="C4" s="1172"/>
      <c r="D4" s="1172"/>
      <c r="E4" s="1172"/>
      <c r="F4" s="1173"/>
      <c r="G4" s="1173"/>
      <c r="H4" s="1173"/>
      <c r="I4" s="1173"/>
    </row>
    <row r="5" spans="1:10" ht="12.75" x14ac:dyDescent="0.2">
      <c r="A5" s="1172" t="s">
        <v>941</v>
      </c>
      <c r="B5" s="1172"/>
      <c r="C5" s="1172"/>
      <c r="D5" s="1172"/>
      <c r="E5" s="1172"/>
      <c r="F5" s="1173"/>
      <c r="G5" s="1173"/>
      <c r="H5" s="1173"/>
      <c r="I5" s="1173"/>
    </row>
    <row r="7" spans="1:10" ht="13.5" thickBot="1" x14ac:dyDescent="0.25">
      <c r="E7" s="566" t="s">
        <v>20</v>
      </c>
      <c r="F7" s="577"/>
    </row>
    <row r="8" spans="1:10" ht="12.75" customHeight="1" thickBot="1" x14ac:dyDescent="0.25">
      <c r="A8" s="1164" t="s">
        <v>79</v>
      </c>
      <c r="B8" s="1166" t="s">
        <v>116</v>
      </c>
      <c r="C8" s="1167"/>
      <c r="D8" s="1167"/>
      <c r="E8" s="1167"/>
      <c r="F8" s="1166" t="s">
        <v>952</v>
      </c>
      <c r="G8" s="1167"/>
      <c r="H8" s="1167"/>
      <c r="I8" s="1167"/>
    </row>
    <row r="9" spans="1:10" s="7" customFormat="1" ht="49.5" customHeight="1" thickBot="1" x14ac:dyDescent="0.25">
      <c r="A9" s="1165"/>
      <c r="B9" s="290" t="s">
        <v>80</v>
      </c>
      <c r="C9" s="195" t="s">
        <v>81</v>
      </c>
      <c r="D9" s="195" t="s">
        <v>722</v>
      </c>
      <c r="E9" s="291" t="s">
        <v>82</v>
      </c>
      <c r="F9" s="290" t="s">
        <v>80</v>
      </c>
      <c r="G9" s="195" t="s">
        <v>81</v>
      </c>
      <c r="H9" s="195" t="s">
        <v>722</v>
      </c>
      <c r="I9" s="291" t="s">
        <v>82</v>
      </c>
    </row>
    <row r="10" spans="1:10" ht="13.5" customHeight="1" x14ac:dyDescent="0.2">
      <c r="A10" s="578" t="s">
        <v>83</v>
      </c>
      <c r="B10" s="579"/>
      <c r="C10" s="579"/>
      <c r="D10" s="579"/>
      <c r="E10" s="579"/>
      <c r="F10" s="580"/>
      <c r="G10" s="580"/>
      <c r="H10" s="580"/>
      <c r="I10" s="580"/>
      <c r="J10" s="613"/>
    </row>
    <row r="11" spans="1:10" ht="13.5" customHeight="1" x14ac:dyDescent="0.2">
      <c r="A11" s="196" t="s">
        <v>862</v>
      </c>
      <c r="B11" s="197"/>
      <c r="C11" s="197"/>
      <c r="D11" s="197"/>
      <c r="E11" s="197"/>
      <c r="F11" s="567"/>
      <c r="G11" s="567"/>
      <c r="H11" s="567"/>
      <c r="I11" s="567"/>
      <c r="J11" s="613"/>
    </row>
    <row r="12" spans="1:10" ht="30.75" customHeight="1" x14ac:dyDescent="0.2">
      <c r="A12" s="715" t="s">
        <v>863</v>
      </c>
      <c r="B12" s="570">
        <v>4865</v>
      </c>
      <c r="C12" s="716">
        <v>18.690000000000001</v>
      </c>
      <c r="D12" s="570">
        <v>4580000</v>
      </c>
      <c r="E12" s="570">
        <f>C12*D12</f>
        <v>85600200</v>
      </c>
      <c r="F12" s="569">
        <v>4837</v>
      </c>
      <c r="G12" s="568">
        <v>18.62</v>
      </c>
      <c r="H12" s="568">
        <v>4580000</v>
      </c>
      <c r="I12" s="569">
        <f>G12*H12</f>
        <v>85279600</v>
      </c>
      <c r="J12" s="613"/>
    </row>
    <row r="13" spans="1:10" ht="13.5" customHeight="1" x14ac:dyDescent="0.2">
      <c r="A13" s="573" t="s">
        <v>864</v>
      </c>
      <c r="B13" s="570"/>
      <c r="C13" s="570"/>
      <c r="D13" s="570"/>
      <c r="E13" s="570"/>
      <c r="F13" s="569"/>
      <c r="G13" s="568"/>
      <c r="H13" s="568"/>
      <c r="I13" s="569"/>
      <c r="J13" s="613"/>
    </row>
    <row r="14" spans="1:10" ht="30" customHeight="1" x14ac:dyDescent="0.2">
      <c r="A14" s="715" t="s">
        <v>865</v>
      </c>
      <c r="B14" s="570"/>
      <c r="C14" s="571"/>
      <c r="D14" s="570" t="s">
        <v>313</v>
      </c>
      <c r="E14" s="570">
        <v>8328800</v>
      </c>
      <c r="F14" s="569"/>
      <c r="G14" s="568"/>
      <c r="H14" s="568" t="s">
        <v>313</v>
      </c>
      <c r="I14" s="569">
        <v>8329050</v>
      </c>
      <c r="J14" s="613"/>
    </row>
    <row r="15" spans="1:10" ht="30" customHeight="1" x14ac:dyDescent="0.2">
      <c r="A15" s="715" t="s">
        <v>866</v>
      </c>
      <c r="B15" s="570"/>
      <c r="C15" s="571"/>
      <c r="D15" s="570"/>
      <c r="E15" s="570"/>
      <c r="F15" s="569"/>
      <c r="G15" s="568"/>
      <c r="H15" s="568"/>
      <c r="I15" s="569">
        <v>-8329050</v>
      </c>
      <c r="J15" s="613"/>
    </row>
    <row r="16" spans="1:10" ht="30" customHeight="1" x14ac:dyDescent="0.2">
      <c r="A16" s="715" t="s">
        <v>867</v>
      </c>
      <c r="B16" s="570"/>
      <c r="C16" s="571"/>
      <c r="D16" s="570"/>
      <c r="E16" s="570"/>
      <c r="F16" s="569"/>
      <c r="G16" s="568"/>
      <c r="H16" s="568"/>
      <c r="I16" s="569">
        <f>I14+I15</f>
        <v>0</v>
      </c>
      <c r="J16" s="613"/>
    </row>
    <row r="17" spans="1:10" ht="16.5" customHeight="1" x14ac:dyDescent="0.2">
      <c r="A17" s="573" t="s">
        <v>868</v>
      </c>
      <c r="B17" s="570"/>
      <c r="C17" s="570"/>
      <c r="D17" s="717" t="s">
        <v>314</v>
      </c>
      <c r="E17" s="570">
        <v>18272000</v>
      </c>
      <c r="F17" s="569"/>
      <c r="G17" s="568"/>
      <c r="H17" s="568" t="s">
        <v>315</v>
      </c>
      <c r="I17" s="569">
        <v>18304000</v>
      </c>
      <c r="J17" s="613"/>
    </row>
    <row r="18" spans="1:10" ht="16.5" customHeight="1" x14ac:dyDescent="0.2">
      <c r="A18" s="573" t="s">
        <v>866</v>
      </c>
      <c r="B18" s="570"/>
      <c r="C18" s="570"/>
      <c r="D18" s="717"/>
      <c r="E18" s="570"/>
      <c r="F18" s="569"/>
      <c r="G18" s="568"/>
      <c r="H18" s="568"/>
      <c r="I18" s="569">
        <v>-18304000</v>
      </c>
      <c r="J18" s="613"/>
    </row>
    <row r="19" spans="1:10" ht="16.5" customHeight="1" x14ac:dyDescent="0.2">
      <c r="A19" s="573" t="s">
        <v>869</v>
      </c>
      <c r="B19" s="570"/>
      <c r="C19" s="570"/>
      <c r="D19" s="717"/>
      <c r="E19" s="570"/>
      <c r="F19" s="569"/>
      <c r="G19" s="568"/>
      <c r="H19" s="568"/>
      <c r="I19" s="569">
        <f>I17+I18</f>
        <v>0</v>
      </c>
      <c r="J19" s="613"/>
    </row>
    <row r="20" spans="1:10" ht="13.5" customHeight="1" x14ac:dyDescent="0.2">
      <c r="A20" s="573" t="s">
        <v>870</v>
      </c>
      <c r="B20" s="718"/>
      <c r="C20" s="718" t="s">
        <v>871</v>
      </c>
      <c r="D20" s="719" t="s">
        <v>723</v>
      </c>
      <c r="E20" s="718">
        <v>1355022</v>
      </c>
      <c r="F20" s="672"/>
      <c r="G20" s="718"/>
      <c r="H20" s="720" t="s">
        <v>723</v>
      </c>
      <c r="I20" s="569">
        <v>1355022</v>
      </c>
      <c r="J20" s="613"/>
    </row>
    <row r="21" spans="1:10" ht="13.5" customHeight="1" x14ac:dyDescent="0.2">
      <c r="A21" s="573" t="s">
        <v>872</v>
      </c>
      <c r="B21" s="718"/>
      <c r="C21" s="718"/>
      <c r="D21" s="719"/>
      <c r="E21" s="718"/>
      <c r="F21" s="672"/>
      <c r="G21" s="718"/>
      <c r="H21" s="720"/>
      <c r="I21" s="569">
        <v>-1355022</v>
      </c>
      <c r="J21" s="613"/>
    </row>
    <row r="22" spans="1:10" ht="13.5" customHeight="1" x14ac:dyDescent="0.2">
      <c r="A22" s="573" t="s">
        <v>873</v>
      </c>
      <c r="B22" s="718"/>
      <c r="C22" s="718"/>
      <c r="D22" s="719"/>
      <c r="E22" s="718"/>
      <c r="F22" s="672"/>
      <c r="G22" s="718"/>
      <c r="H22" s="720"/>
      <c r="I22" s="569">
        <f>I20+I21</f>
        <v>0</v>
      </c>
      <c r="J22" s="613"/>
    </row>
    <row r="23" spans="1:10" ht="13.5" customHeight="1" x14ac:dyDescent="0.2">
      <c r="A23" s="573" t="s">
        <v>874</v>
      </c>
      <c r="B23" s="570"/>
      <c r="C23" s="571"/>
      <c r="D23" s="717" t="s">
        <v>724</v>
      </c>
      <c r="E23" s="570">
        <v>6369620</v>
      </c>
      <c r="F23" s="569"/>
      <c r="G23" s="568"/>
      <c r="H23" s="717" t="s">
        <v>724</v>
      </c>
      <c r="I23" s="569">
        <v>6369620</v>
      </c>
      <c r="J23" s="613"/>
    </row>
    <row r="24" spans="1:10" ht="13.5" customHeight="1" x14ac:dyDescent="0.2">
      <c r="A24" s="573" t="s">
        <v>872</v>
      </c>
      <c r="B24" s="570"/>
      <c r="C24" s="571"/>
      <c r="D24" s="717"/>
      <c r="E24" s="570"/>
      <c r="F24" s="569"/>
      <c r="G24" s="568"/>
      <c r="H24" s="717"/>
      <c r="I24" s="569">
        <v>-6369620</v>
      </c>
      <c r="J24" s="613"/>
    </row>
    <row r="25" spans="1:10" ht="13.5" customHeight="1" x14ac:dyDescent="0.2">
      <c r="A25" s="573" t="s">
        <v>875</v>
      </c>
      <c r="B25" s="570"/>
      <c r="C25" s="571"/>
      <c r="D25" s="717"/>
      <c r="E25" s="570"/>
      <c r="F25" s="569"/>
      <c r="G25" s="568"/>
      <c r="H25" s="717"/>
      <c r="I25" s="569">
        <f>I23+I24</f>
        <v>0</v>
      </c>
      <c r="J25" s="613"/>
    </row>
    <row r="26" spans="1:10" ht="13.5" customHeight="1" x14ac:dyDescent="0.2">
      <c r="A26" s="573" t="s">
        <v>876</v>
      </c>
      <c r="B26" s="570">
        <v>4865</v>
      </c>
      <c r="C26" s="570"/>
      <c r="D26" s="570">
        <v>2700</v>
      </c>
      <c r="E26" s="570">
        <f>B26*D26</f>
        <v>13135500</v>
      </c>
      <c r="F26" s="569">
        <v>4837</v>
      </c>
      <c r="G26" s="568"/>
      <c r="H26" s="570">
        <v>2700</v>
      </c>
      <c r="I26" s="569">
        <f>F26*H26</f>
        <v>13059900</v>
      </c>
      <c r="J26" s="613"/>
    </row>
    <row r="27" spans="1:10" ht="13.5" customHeight="1" x14ac:dyDescent="0.2">
      <c r="A27" s="573" t="s">
        <v>877</v>
      </c>
      <c r="B27" s="570"/>
      <c r="C27" s="570"/>
      <c r="D27" s="570"/>
      <c r="E27" s="570">
        <v>-13135500</v>
      </c>
      <c r="F27" s="569"/>
      <c r="G27" s="568"/>
      <c r="H27" s="568"/>
      <c r="I27" s="569">
        <v>-13059900</v>
      </c>
      <c r="J27" s="613"/>
    </row>
    <row r="28" spans="1:10" ht="13.5" customHeight="1" x14ac:dyDescent="0.2">
      <c r="A28" s="573" t="s">
        <v>878</v>
      </c>
      <c r="B28" s="570"/>
      <c r="C28" s="570"/>
      <c r="D28" s="570"/>
      <c r="E28" s="570">
        <f>E26+E27</f>
        <v>0</v>
      </c>
      <c r="F28" s="569"/>
      <c r="G28" s="568"/>
      <c r="H28" s="568"/>
      <c r="I28" s="569">
        <f>I26+I27</f>
        <v>0</v>
      </c>
      <c r="J28" s="613"/>
    </row>
    <row r="29" spans="1:10" ht="13.5" customHeight="1" x14ac:dyDescent="0.2">
      <c r="A29" s="573" t="s">
        <v>879</v>
      </c>
      <c r="B29" s="718">
        <v>10</v>
      </c>
      <c r="C29" s="718"/>
      <c r="D29" s="718" t="s">
        <v>316</v>
      </c>
      <c r="E29" s="721">
        <v>25500</v>
      </c>
      <c r="F29" s="569">
        <v>11</v>
      </c>
      <c r="G29" s="568"/>
      <c r="H29" s="570" t="s">
        <v>316</v>
      </c>
      <c r="I29" s="569">
        <v>28050</v>
      </c>
      <c r="J29" s="613"/>
    </row>
    <row r="30" spans="1:10" ht="13.5" customHeight="1" x14ac:dyDescent="0.2">
      <c r="A30" s="573" t="s">
        <v>880</v>
      </c>
      <c r="B30" s="718"/>
      <c r="C30" s="718"/>
      <c r="D30" s="718"/>
      <c r="E30" s="721">
        <v>-25500</v>
      </c>
      <c r="F30" s="569"/>
      <c r="G30" s="568"/>
      <c r="H30" s="568"/>
      <c r="I30" s="569">
        <v>-28050</v>
      </c>
      <c r="J30" s="613"/>
    </row>
    <row r="31" spans="1:10" ht="13.5" customHeight="1" x14ac:dyDescent="0.2">
      <c r="A31" s="573" t="s">
        <v>881</v>
      </c>
      <c r="B31" s="718"/>
      <c r="C31" s="718"/>
      <c r="D31" s="718"/>
      <c r="E31" s="721">
        <v>0</v>
      </c>
      <c r="F31" s="569"/>
      <c r="G31" s="568"/>
      <c r="H31" s="568"/>
      <c r="I31" s="569">
        <f>I29+I30</f>
        <v>0</v>
      </c>
      <c r="J31" s="613"/>
    </row>
    <row r="32" spans="1:10" ht="13.5" customHeight="1" x14ac:dyDescent="0.2">
      <c r="A32" s="573" t="s">
        <v>882</v>
      </c>
      <c r="B32" s="570"/>
      <c r="C32" s="570">
        <v>487729000</v>
      </c>
      <c r="D32" s="571">
        <v>1.55</v>
      </c>
      <c r="E32" s="570">
        <f>C32*D32</f>
        <v>755979950</v>
      </c>
      <c r="F32" s="569"/>
      <c r="G32" s="766">
        <v>482296000</v>
      </c>
      <c r="H32" s="767">
        <v>1.55</v>
      </c>
      <c r="I32" s="766">
        <f>G32*H32</f>
        <v>747558800</v>
      </c>
      <c r="J32" s="613"/>
    </row>
    <row r="33" spans="1:11" ht="13.5" customHeight="1" x14ac:dyDescent="0.2">
      <c r="A33" s="573" t="s">
        <v>877</v>
      </c>
      <c r="B33" s="570"/>
      <c r="C33" s="570"/>
      <c r="D33" s="574"/>
      <c r="E33" s="570">
        <v>-98054262</v>
      </c>
      <c r="F33" s="569"/>
      <c r="G33" s="568"/>
      <c r="H33" s="568"/>
      <c r="I33" s="569">
        <v>-69343482</v>
      </c>
      <c r="J33" s="613"/>
    </row>
    <row r="34" spans="1:11" ht="13.5" customHeight="1" x14ac:dyDescent="0.2">
      <c r="A34" s="573" t="s">
        <v>883</v>
      </c>
      <c r="B34" s="570"/>
      <c r="C34" s="570"/>
      <c r="D34" s="574"/>
      <c r="E34" s="570">
        <f>E32+E33</f>
        <v>657925688</v>
      </c>
      <c r="F34" s="569"/>
      <c r="G34" s="568"/>
      <c r="H34" s="568"/>
      <c r="I34" s="569">
        <f>I32+I33</f>
        <v>678215318</v>
      </c>
      <c r="J34" s="613"/>
    </row>
    <row r="35" spans="1:11" ht="13.5" customHeight="1" x14ac:dyDescent="0.2">
      <c r="A35" s="722" t="s">
        <v>884</v>
      </c>
      <c r="B35" s="718"/>
      <c r="C35" s="718"/>
      <c r="D35" s="718"/>
      <c r="E35" s="718">
        <v>0</v>
      </c>
      <c r="F35" s="672"/>
      <c r="G35" s="723"/>
      <c r="H35" s="723"/>
      <c r="I35" s="672">
        <v>0</v>
      </c>
      <c r="J35" s="613"/>
    </row>
    <row r="36" spans="1:11" ht="13.5" customHeight="1" x14ac:dyDescent="0.2">
      <c r="A36" s="722"/>
      <c r="B36" s="718"/>
      <c r="C36" s="718"/>
      <c r="D36" s="718"/>
      <c r="E36" s="718"/>
      <c r="F36" s="672"/>
      <c r="G36" s="723"/>
      <c r="H36" s="723"/>
      <c r="I36" s="672"/>
      <c r="J36" s="613"/>
      <c r="K36" s="724"/>
    </row>
    <row r="37" spans="1:11" ht="24.95" customHeight="1" x14ac:dyDescent="0.2">
      <c r="A37" s="725" t="s">
        <v>84</v>
      </c>
      <c r="B37" s="718"/>
      <c r="C37" s="718"/>
      <c r="D37" s="718"/>
      <c r="E37" s="718"/>
      <c r="F37" s="672"/>
      <c r="G37" s="723"/>
      <c r="H37" s="723"/>
      <c r="I37" s="672"/>
      <c r="J37" s="613"/>
    </row>
    <row r="38" spans="1:11" ht="15" customHeight="1" x14ac:dyDescent="0.2">
      <c r="A38" s="715" t="s">
        <v>885</v>
      </c>
      <c r="B38" s="718"/>
      <c r="C38" s="718"/>
      <c r="D38" s="718"/>
      <c r="E38" s="718"/>
      <c r="F38" s="672"/>
      <c r="G38" s="723"/>
      <c r="H38" s="723"/>
      <c r="I38" s="672"/>
      <c r="J38" s="613"/>
    </row>
    <row r="39" spans="1:11" ht="24" customHeight="1" x14ac:dyDescent="0.2">
      <c r="A39" s="715" t="s">
        <v>886</v>
      </c>
      <c r="B39" s="570"/>
      <c r="C39" s="571">
        <v>13.1</v>
      </c>
      <c r="D39" s="570">
        <v>4152000</v>
      </c>
      <c r="E39" s="570">
        <f>C39*D39*8/12</f>
        <v>36260800</v>
      </c>
      <c r="F39" s="569"/>
      <c r="G39" s="568">
        <v>13.3</v>
      </c>
      <c r="H39" s="569">
        <v>4308000</v>
      </c>
      <c r="I39" s="569">
        <f>G39*8/12*4308000</f>
        <v>38197600</v>
      </c>
      <c r="J39" s="613"/>
    </row>
    <row r="40" spans="1:11" ht="24" customHeight="1" x14ac:dyDescent="0.2">
      <c r="A40" s="715" t="s">
        <v>887</v>
      </c>
      <c r="B40" s="570"/>
      <c r="C40" s="571">
        <v>13.1</v>
      </c>
      <c r="D40" s="572">
        <v>4152000</v>
      </c>
      <c r="E40" s="570">
        <f>C40*D40*4/12</f>
        <v>18130400</v>
      </c>
      <c r="F40" s="569"/>
      <c r="G40" s="726">
        <v>13.4</v>
      </c>
      <c r="H40" s="569">
        <v>4308000</v>
      </c>
      <c r="I40" s="569">
        <f>G40*4/12*H40</f>
        <v>19242400</v>
      </c>
      <c r="J40" s="613"/>
    </row>
    <row r="41" spans="1:11" ht="24.95" customHeight="1" x14ac:dyDescent="0.2">
      <c r="A41" s="715" t="s">
        <v>953</v>
      </c>
      <c r="B41" s="718"/>
      <c r="C41" s="727">
        <v>13.1</v>
      </c>
      <c r="D41" s="728">
        <v>35000</v>
      </c>
      <c r="E41" s="718">
        <f>C41*D41</f>
        <v>458500</v>
      </c>
      <c r="F41" s="672"/>
      <c r="G41" s="726">
        <v>13.4</v>
      </c>
      <c r="H41" s="569">
        <v>35000</v>
      </c>
      <c r="I41" s="569">
        <f>G41*H41</f>
        <v>469000</v>
      </c>
      <c r="J41" s="613"/>
    </row>
    <row r="42" spans="1:11" ht="24.95" customHeight="1" x14ac:dyDescent="0.2">
      <c r="A42" s="715" t="s">
        <v>888</v>
      </c>
      <c r="B42" s="718"/>
      <c r="C42" s="718">
        <v>10</v>
      </c>
      <c r="D42" s="718">
        <v>1800000</v>
      </c>
      <c r="E42" s="721">
        <f>C42*D42*8/12</f>
        <v>12000000</v>
      </c>
      <c r="F42" s="672"/>
      <c r="G42" s="726">
        <v>9</v>
      </c>
      <c r="H42" s="569">
        <v>1800000</v>
      </c>
      <c r="I42" s="569">
        <f>G42*H42*8/12</f>
        <v>10800000</v>
      </c>
      <c r="J42" s="613"/>
    </row>
    <row r="43" spans="1:11" ht="35.25" customHeight="1" x14ac:dyDescent="0.2">
      <c r="A43" s="729" t="s">
        <v>889</v>
      </c>
      <c r="B43" s="718"/>
      <c r="C43" s="718"/>
      <c r="D43" s="718"/>
      <c r="E43" s="721"/>
      <c r="F43" s="672"/>
      <c r="G43" s="726">
        <v>1</v>
      </c>
      <c r="H43" s="569">
        <v>4308000</v>
      </c>
      <c r="I43" s="569">
        <f>G43*H43*8/12</f>
        <v>2872000</v>
      </c>
      <c r="J43" s="613"/>
    </row>
    <row r="44" spans="1:11" ht="35.25" customHeight="1" x14ac:dyDescent="0.2">
      <c r="A44" s="715" t="s">
        <v>890</v>
      </c>
      <c r="B44" s="718"/>
      <c r="C44" s="718">
        <v>10</v>
      </c>
      <c r="D44" s="718">
        <v>1800000</v>
      </c>
      <c r="E44" s="718">
        <f>C44*D44*4/12</f>
        <v>6000000</v>
      </c>
      <c r="F44" s="672"/>
      <c r="G44" s="726">
        <v>9</v>
      </c>
      <c r="H44" s="569">
        <v>1800000</v>
      </c>
      <c r="I44" s="569">
        <f>G44*H44*4/12</f>
        <v>5400000</v>
      </c>
      <c r="J44" s="614"/>
    </row>
    <row r="45" spans="1:11" ht="35.25" customHeight="1" x14ac:dyDescent="0.2">
      <c r="A45" s="715" t="s">
        <v>891</v>
      </c>
      <c r="B45" s="718"/>
      <c r="C45" s="718"/>
      <c r="D45" s="718"/>
      <c r="E45" s="718"/>
      <c r="F45" s="672"/>
      <c r="G45" s="726">
        <v>1</v>
      </c>
      <c r="H45" s="569">
        <v>4308000</v>
      </c>
      <c r="I45" s="569">
        <f>G45*H45*4/12</f>
        <v>1436000</v>
      </c>
      <c r="J45" s="614"/>
    </row>
    <row r="46" spans="1:11" ht="13.5" customHeight="1" x14ac:dyDescent="0.2">
      <c r="A46" s="715" t="s">
        <v>892</v>
      </c>
      <c r="B46" s="718"/>
      <c r="C46" s="718"/>
      <c r="D46" s="718"/>
      <c r="E46" s="718"/>
      <c r="F46" s="672"/>
      <c r="G46" s="726">
        <v>1</v>
      </c>
      <c r="H46" s="569">
        <v>35000</v>
      </c>
      <c r="I46" s="569">
        <f>G46*H46</f>
        <v>35000</v>
      </c>
      <c r="J46" s="614"/>
    </row>
    <row r="47" spans="1:11" ht="13.5" customHeight="1" x14ac:dyDescent="0.2">
      <c r="A47" s="573" t="s">
        <v>893</v>
      </c>
      <c r="B47" s="718"/>
      <c r="C47" s="718"/>
      <c r="D47" s="718"/>
      <c r="E47" s="718"/>
      <c r="F47" s="672"/>
      <c r="G47" s="723"/>
      <c r="H47" s="723"/>
      <c r="I47" s="672"/>
      <c r="J47" s="613"/>
    </row>
    <row r="48" spans="1:11" ht="13.5" customHeight="1" x14ac:dyDescent="0.2">
      <c r="A48" s="715" t="s">
        <v>894</v>
      </c>
      <c r="B48" s="570"/>
      <c r="C48" s="570"/>
      <c r="D48" s="570"/>
      <c r="E48" s="570"/>
      <c r="F48" s="569"/>
      <c r="G48" s="569">
        <v>0</v>
      </c>
      <c r="H48" s="570">
        <v>80000</v>
      </c>
      <c r="I48" s="569">
        <f>G48*H48*8/12</f>
        <v>0</v>
      </c>
      <c r="J48" s="613"/>
    </row>
    <row r="49" spans="1:11" ht="13.5" customHeight="1" x14ac:dyDescent="0.2">
      <c r="A49" s="715" t="s">
        <v>895</v>
      </c>
      <c r="B49" s="570"/>
      <c r="C49" s="570">
        <v>142</v>
      </c>
      <c r="D49" s="570">
        <v>70000</v>
      </c>
      <c r="E49" s="570">
        <f>C49*D49*8/12</f>
        <v>6626666.666666667</v>
      </c>
      <c r="F49" s="569"/>
      <c r="G49" s="569">
        <v>144</v>
      </c>
      <c r="H49" s="570">
        <v>80000</v>
      </c>
      <c r="I49" s="569">
        <f>G49*H49*8/12</f>
        <v>7680000</v>
      </c>
      <c r="J49" s="613"/>
    </row>
    <row r="50" spans="1:11" ht="13.5" customHeight="1" x14ac:dyDescent="0.2">
      <c r="A50" s="715" t="s">
        <v>896</v>
      </c>
      <c r="B50" s="718"/>
      <c r="C50" s="718"/>
      <c r="D50" s="718"/>
      <c r="E50" s="718"/>
      <c r="F50" s="672"/>
      <c r="G50" s="569">
        <v>0</v>
      </c>
      <c r="H50" s="570">
        <v>80000</v>
      </c>
      <c r="I50" s="569">
        <f>G50*H50*8/12</f>
        <v>0</v>
      </c>
      <c r="J50" s="613"/>
    </row>
    <row r="51" spans="1:11" ht="39.75" customHeight="1" x14ac:dyDescent="0.2">
      <c r="A51" s="715" t="s">
        <v>897</v>
      </c>
      <c r="B51" s="718"/>
      <c r="C51" s="718">
        <v>142</v>
      </c>
      <c r="D51" s="718">
        <v>70000</v>
      </c>
      <c r="E51" s="718">
        <f>C51*D51*4/12</f>
        <v>3313333.3333333335</v>
      </c>
      <c r="F51" s="672"/>
      <c r="G51" s="569">
        <v>144</v>
      </c>
      <c r="H51" s="570">
        <v>80000</v>
      </c>
      <c r="I51" s="569">
        <f>G51*H51*4/12</f>
        <v>3840000</v>
      </c>
      <c r="J51" s="613"/>
    </row>
    <row r="52" spans="1:11" ht="50.25" customHeight="1" x14ac:dyDescent="0.2">
      <c r="A52" s="573" t="s">
        <v>898</v>
      </c>
      <c r="B52" s="718"/>
      <c r="C52" s="718"/>
      <c r="D52" s="718"/>
      <c r="E52" s="718">
        <v>0</v>
      </c>
      <c r="F52" s="672"/>
      <c r="G52" s="723"/>
      <c r="H52" s="723"/>
      <c r="I52" s="569">
        <v>740000</v>
      </c>
      <c r="J52" s="616"/>
    </row>
    <row r="53" spans="1:11" ht="13.5" customHeight="1" x14ac:dyDescent="0.2">
      <c r="A53" s="573" t="s">
        <v>899</v>
      </c>
      <c r="B53" s="570"/>
      <c r="C53" s="570"/>
      <c r="D53" s="570"/>
      <c r="E53" s="570"/>
      <c r="F53" s="569"/>
      <c r="G53" s="568"/>
      <c r="H53" s="568"/>
      <c r="I53" s="569"/>
      <c r="J53" s="613"/>
    </row>
    <row r="54" spans="1:11" ht="13.5" customHeight="1" x14ac:dyDescent="0.2">
      <c r="A54" s="715" t="s">
        <v>900</v>
      </c>
      <c r="B54" s="570"/>
      <c r="C54" s="570">
        <v>5</v>
      </c>
      <c r="D54" s="730" t="s">
        <v>317</v>
      </c>
      <c r="E54" s="570">
        <v>1760000</v>
      </c>
      <c r="F54" s="569"/>
      <c r="G54" s="569">
        <v>5</v>
      </c>
      <c r="H54" s="569">
        <v>384000</v>
      </c>
      <c r="I54" s="569">
        <f>G54*H54</f>
        <v>1920000</v>
      </c>
      <c r="J54" s="613"/>
    </row>
    <row r="55" spans="1:11" ht="13.5" customHeight="1" x14ac:dyDescent="0.2">
      <c r="A55" s="715" t="s">
        <v>901</v>
      </c>
      <c r="B55" s="718"/>
      <c r="C55" s="718"/>
      <c r="D55" s="718"/>
      <c r="E55" s="718"/>
      <c r="F55" s="672"/>
      <c r="G55" s="569">
        <v>1</v>
      </c>
      <c r="H55" s="569">
        <v>352000</v>
      </c>
      <c r="I55" s="569">
        <f>G55*H55</f>
        <v>352000</v>
      </c>
      <c r="J55" s="613"/>
    </row>
    <row r="56" spans="1:11" ht="12.75" customHeight="1" x14ac:dyDescent="0.2">
      <c r="A56" s="722"/>
      <c r="B56" s="718"/>
      <c r="C56" s="718"/>
      <c r="D56" s="718"/>
      <c r="E56" s="718"/>
      <c r="F56" s="672"/>
      <c r="G56" s="723"/>
      <c r="H56" s="723"/>
      <c r="I56" s="672"/>
      <c r="J56" s="613"/>
      <c r="K56" s="724"/>
    </row>
    <row r="57" spans="1:11" ht="13.5" customHeight="1" x14ac:dyDescent="0.2">
      <c r="A57" s="725" t="s">
        <v>85</v>
      </c>
      <c r="B57" s="718"/>
      <c r="C57" s="718"/>
      <c r="D57" s="718"/>
      <c r="E57" s="718"/>
      <c r="F57" s="672"/>
      <c r="G57" s="723"/>
      <c r="H57" s="723"/>
      <c r="I57" s="672"/>
      <c r="J57" s="613"/>
    </row>
    <row r="58" spans="1:11" ht="33.75" customHeight="1" x14ac:dyDescent="0.2">
      <c r="A58" s="722" t="s">
        <v>902</v>
      </c>
      <c r="B58" s="718"/>
      <c r="C58" s="718"/>
      <c r="D58" s="718"/>
      <c r="E58" s="718">
        <v>0</v>
      </c>
      <c r="F58" s="672"/>
      <c r="G58" s="723"/>
      <c r="H58" s="723"/>
      <c r="I58" s="672">
        <v>0</v>
      </c>
      <c r="J58" s="615"/>
    </row>
    <row r="59" spans="1:11" ht="27" customHeight="1" x14ac:dyDescent="0.2">
      <c r="A59" s="729" t="s">
        <v>903</v>
      </c>
      <c r="B59" s="718"/>
      <c r="C59" s="718"/>
      <c r="D59" s="718"/>
      <c r="E59" s="721">
        <v>0</v>
      </c>
      <c r="F59" s="672"/>
      <c r="G59" s="723"/>
      <c r="H59" s="723"/>
      <c r="I59" s="672">
        <v>0</v>
      </c>
      <c r="J59" s="613"/>
    </row>
    <row r="60" spans="1:11" ht="13.5" customHeight="1" x14ac:dyDescent="0.2">
      <c r="A60" s="573" t="s">
        <v>904</v>
      </c>
      <c r="B60" s="718"/>
      <c r="C60" s="718"/>
      <c r="D60" s="718"/>
      <c r="E60" s="718"/>
      <c r="F60" s="672"/>
      <c r="G60" s="723"/>
      <c r="H60" s="723"/>
      <c r="I60" s="672"/>
      <c r="J60" s="613"/>
    </row>
    <row r="61" spans="1:11" ht="13.5" customHeight="1" x14ac:dyDescent="0.2">
      <c r="A61" s="573" t="s">
        <v>905</v>
      </c>
      <c r="B61" s="718"/>
      <c r="C61" s="718"/>
      <c r="D61" s="718"/>
      <c r="E61" s="718"/>
      <c r="F61" s="672"/>
      <c r="G61" s="723"/>
      <c r="H61" s="723"/>
      <c r="I61" s="672"/>
      <c r="J61" s="613"/>
    </row>
    <row r="62" spans="1:11" ht="13.5" customHeight="1" x14ac:dyDescent="0.2">
      <c r="A62" s="573" t="s">
        <v>906</v>
      </c>
      <c r="B62" s="718"/>
      <c r="C62" s="718"/>
      <c r="D62" s="718"/>
      <c r="E62" s="718"/>
      <c r="F62" s="672"/>
      <c r="G62" s="723"/>
      <c r="H62" s="723"/>
      <c r="I62" s="672"/>
      <c r="J62" s="613"/>
    </row>
    <row r="63" spans="1:11" ht="28.5" customHeight="1" x14ac:dyDescent="0.2">
      <c r="A63" s="715" t="s">
        <v>907</v>
      </c>
      <c r="B63" s="722"/>
      <c r="C63" s="731"/>
      <c r="D63" s="718"/>
      <c r="E63" s="718">
        <f>C63*D63/2</f>
        <v>0</v>
      </c>
      <c r="F63" s="570">
        <v>7916</v>
      </c>
      <c r="G63" s="732"/>
      <c r="H63" s="723"/>
      <c r="I63" s="672"/>
      <c r="J63" s="615"/>
    </row>
    <row r="64" spans="1:11" ht="24.95" customHeight="1" x14ac:dyDescent="0.2">
      <c r="A64" s="729" t="s">
        <v>908</v>
      </c>
      <c r="B64" s="718"/>
      <c r="C64" s="722"/>
      <c r="D64" s="718"/>
      <c r="E64" s="718"/>
      <c r="F64" s="672"/>
      <c r="G64" s="575">
        <v>0</v>
      </c>
      <c r="H64" s="723"/>
      <c r="I64" s="672"/>
      <c r="J64" s="615"/>
    </row>
    <row r="65" spans="1:10" ht="24.95" customHeight="1" x14ac:dyDescent="0.2">
      <c r="A65" s="722" t="s">
        <v>909</v>
      </c>
      <c r="B65" s="718"/>
      <c r="C65" s="722"/>
      <c r="D65" s="718"/>
      <c r="E65" s="718"/>
      <c r="F65" s="672"/>
      <c r="G65" s="574">
        <v>1</v>
      </c>
      <c r="H65" s="723"/>
      <c r="I65" s="672"/>
      <c r="J65" s="613"/>
    </row>
    <row r="66" spans="1:10" ht="24.95" customHeight="1" x14ac:dyDescent="0.2">
      <c r="A66" s="573" t="s">
        <v>910</v>
      </c>
      <c r="B66" s="718"/>
      <c r="C66" s="733">
        <v>0.97299999999999998</v>
      </c>
      <c r="D66" s="718">
        <v>3000000</v>
      </c>
      <c r="E66" s="718"/>
      <c r="F66" s="672"/>
      <c r="G66" s="574">
        <v>2</v>
      </c>
      <c r="H66" s="570">
        <v>3000000</v>
      </c>
      <c r="I66" s="569">
        <f>(2*1+0)*3000000</f>
        <v>6000000</v>
      </c>
      <c r="J66" s="613"/>
    </row>
    <row r="67" spans="1:10" ht="13.5" customHeight="1" x14ac:dyDescent="0.2">
      <c r="A67" s="573" t="s">
        <v>911</v>
      </c>
      <c r="B67" s="734"/>
      <c r="C67" s="718">
        <v>80</v>
      </c>
      <c r="D67" s="718">
        <v>55360</v>
      </c>
      <c r="E67" s="718">
        <f>C67*D67</f>
        <v>4428800</v>
      </c>
      <c r="F67" s="672"/>
      <c r="G67" s="570">
        <v>80</v>
      </c>
      <c r="H67" s="570">
        <v>55360</v>
      </c>
      <c r="I67" s="570">
        <f>G67*H67</f>
        <v>4428800</v>
      </c>
      <c r="J67" s="613"/>
    </row>
    <row r="68" spans="1:10" ht="13.5" customHeight="1" x14ac:dyDescent="0.2">
      <c r="A68" s="573" t="s">
        <v>912</v>
      </c>
      <c r="B68" s="734"/>
      <c r="C68" s="718">
        <v>55</v>
      </c>
      <c r="D68" s="718">
        <v>145000</v>
      </c>
      <c r="E68" s="718">
        <f>C68*D68</f>
        <v>7975000</v>
      </c>
      <c r="F68" s="672"/>
      <c r="G68" s="570">
        <v>50</v>
      </c>
      <c r="H68" s="570">
        <v>145000</v>
      </c>
      <c r="I68" s="570">
        <f>G68*H68</f>
        <v>7250000</v>
      </c>
      <c r="J68" s="613"/>
    </row>
    <row r="69" spans="1:10" ht="13.5" customHeight="1" x14ac:dyDescent="0.2">
      <c r="A69" s="729" t="s">
        <v>913</v>
      </c>
      <c r="B69" s="735"/>
      <c r="C69" s="718">
        <v>23</v>
      </c>
      <c r="D69" s="718">
        <v>109000</v>
      </c>
      <c r="E69" s="718">
        <f>C69*D69</f>
        <v>2507000</v>
      </c>
      <c r="F69" s="672"/>
      <c r="G69" s="570">
        <v>23</v>
      </c>
      <c r="H69" s="570">
        <v>109000</v>
      </c>
      <c r="I69" s="570">
        <f>G69*H69</f>
        <v>2507000</v>
      </c>
      <c r="J69" s="613"/>
    </row>
    <row r="70" spans="1:10" ht="15" customHeight="1" x14ac:dyDescent="0.2">
      <c r="A70" s="715" t="s">
        <v>914</v>
      </c>
      <c r="B70" s="735"/>
      <c r="C70" s="718"/>
      <c r="D70" s="718"/>
      <c r="E70" s="718"/>
      <c r="F70" s="672"/>
      <c r="G70" s="723"/>
      <c r="H70" s="723"/>
      <c r="I70" s="672"/>
      <c r="J70" s="613"/>
    </row>
    <row r="71" spans="1:10" ht="13.5" customHeight="1" x14ac:dyDescent="0.2">
      <c r="A71" s="722" t="s">
        <v>915</v>
      </c>
      <c r="B71" s="722"/>
      <c r="C71" s="722"/>
      <c r="D71" s="672"/>
      <c r="E71" s="718"/>
      <c r="F71" s="672"/>
      <c r="G71" s="723"/>
      <c r="H71" s="723"/>
      <c r="I71" s="672"/>
      <c r="J71" s="613"/>
    </row>
    <row r="72" spans="1:10" ht="13.5" customHeight="1" x14ac:dyDescent="0.2">
      <c r="A72" s="573" t="s">
        <v>916</v>
      </c>
      <c r="B72" s="736"/>
      <c r="C72" s="718">
        <v>13</v>
      </c>
      <c r="D72" s="718">
        <v>494100</v>
      </c>
      <c r="E72" s="718">
        <f>C72*D72</f>
        <v>6423300</v>
      </c>
      <c r="F72" s="672"/>
      <c r="G72" s="570">
        <v>15</v>
      </c>
      <c r="H72" s="570">
        <v>494100</v>
      </c>
      <c r="I72" s="570">
        <f>G72*H72</f>
        <v>7411500</v>
      </c>
      <c r="J72" s="613"/>
    </row>
    <row r="73" spans="1:10" ht="13.5" customHeight="1" x14ac:dyDescent="0.2">
      <c r="A73" s="715" t="s">
        <v>917</v>
      </c>
      <c r="B73" s="734"/>
      <c r="C73" s="718"/>
      <c r="D73" s="718"/>
      <c r="E73" s="718"/>
      <c r="F73" s="672"/>
      <c r="G73" s="723"/>
      <c r="H73" s="723"/>
      <c r="I73" s="672"/>
      <c r="J73" s="613"/>
    </row>
    <row r="74" spans="1:10" ht="13.5" customHeight="1" x14ac:dyDescent="0.2">
      <c r="A74" s="715" t="s">
        <v>918</v>
      </c>
      <c r="B74" s="734"/>
      <c r="C74" s="718">
        <v>15</v>
      </c>
      <c r="D74" s="718">
        <v>2606040</v>
      </c>
      <c r="E74" s="718">
        <f>C74*D74</f>
        <v>39090600</v>
      </c>
      <c r="F74" s="672"/>
      <c r="G74" s="570">
        <v>15</v>
      </c>
      <c r="H74" s="570">
        <v>2606040</v>
      </c>
      <c r="I74" s="570">
        <f>G74*H74</f>
        <v>39090600</v>
      </c>
      <c r="J74" s="613"/>
    </row>
    <row r="75" spans="1:10" ht="24.95" customHeight="1" x14ac:dyDescent="0.2">
      <c r="A75" s="573" t="s">
        <v>919</v>
      </c>
      <c r="B75" s="734"/>
      <c r="C75" s="718"/>
      <c r="D75" s="718"/>
      <c r="E75" s="721">
        <v>37834000</v>
      </c>
      <c r="F75" s="672"/>
      <c r="G75" s="723"/>
      <c r="H75" s="723"/>
      <c r="I75" s="569">
        <v>31081000</v>
      </c>
      <c r="J75" s="617"/>
    </row>
    <row r="76" spans="1:10" ht="15" customHeight="1" x14ac:dyDescent="0.2">
      <c r="A76" s="573" t="s">
        <v>920</v>
      </c>
      <c r="B76" s="734"/>
      <c r="C76" s="718"/>
      <c r="D76" s="718"/>
      <c r="E76" s="718"/>
      <c r="F76" s="672"/>
      <c r="G76" s="723"/>
      <c r="H76" s="723"/>
      <c r="I76" s="672"/>
      <c r="J76" s="613"/>
    </row>
    <row r="77" spans="1:10" ht="34.5" customHeight="1" x14ac:dyDescent="0.2">
      <c r="A77" s="573" t="s">
        <v>921</v>
      </c>
      <c r="B77" s="718"/>
      <c r="C77" s="727">
        <v>12.33</v>
      </c>
      <c r="D77" s="718">
        <v>1632000</v>
      </c>
      <c r="E77" s="718">
        <f>C77*D77</f>
        <v>20122560</v>
      </c>
      <c r="F77" s="672"/>
      <c r="G77" s="571">
        <v>13.81</v>
      </c>
      <c r="H77" s="570">
        <v>1632000</v>
      </c>
      <c r="I77" s="570">
        <f>G77*H77</f>
        <v>22537920</v>
      </c>
      <c r="J77" s="618"/>
    </row>
    <row r="78" spans="1:10" ht="13.5" customHeight="1" x14ac:dyDescent="0.2">
      <c r="A78" s="573" t="s">
        <v>922</v>
      </c>
      <c r="B78" s="718"/>
      <c r="C78" s="718"/>
      <c r="D78" s="718"/>
      <c r="E78" s="721">
        <v>7038795</v>
      </c>
      <c r="F78" s="672"/>
      <c r="G78" s="723"/>
      <c r="H78" s="723"/>
      <c r="I78" s="569">
        <v>10352656</v>
      </c>
      <c r="J78" s="619"/>
    </row>
    <row r="79" spans="1:10" ht="13.5" customHeight="1" x14ac:dyDescent="0.2">
      <c r="A79" s="715" t="s">
        <v>923</v>
      </c>
      <c r="B79" s="718"/>
      <c r="C79" s="718"/>
      <c r="D79" s="718"/>
      <c r="E79" s="721"/>
      <c r="F79" s="672"/>
      <c r="G79" s="569">
        <v>280</v>
      </c>
      <c r="H79" s="569">
        <v>285</v>
      </c>
      <c r="I79" s="569">
        <f>G79*H79</f>
        <v>79800</v>
      </c>
      <c r="J79" s="613"/>
    </row>
    <row r="80" spans="1:10" ht="31.5" customHeight="1" x14ac:dyDescent="0.2">
      <c r="A80" s="573" t="s">
        <v>924</v>
      </c>
      <c r="B80" s="718"/>
      <c r="C80" s="718"/>
      <c r="D80" s="718"/>
      <c r="E80" s="721">
        <v>0</v>
      </c>
      <c r="F80" s="672"/>
      <c r="G80" s="723"/>
      <c r="H80" s="723"/>
      <c r="I80" s="569">
        <v>0</v>
      </c>
      <c r="J80" s="613"/>
    </row>
    <row r="81" spans="1:256" ht="28.5" customHeight="1" x14ac:dyDescent="0.2">
      <c r="A81" s="722"/>
      <c r="B81" s="718"/>
      <c r="C81" s="718"/>
      <c r="D81" s="718"/>
      <c r="E81" s="737"/>
      <c r="F81" s="672"/>
      <c r="G81" s="723"/>
      <c r="H81" s="723"/>
      <c r="I81" s="672"/>
      <c r="J81" s="613"/>
      <c r="K81" s="724"/>
    </row>
    <row r="82" spans="1:256" ht="13.5" customHeight="1" x14ac:dyDescent="0.2">
      <c r="A82" s="725" t="s">
        <v>925</v>
      </c>
      <c r="B82" s="718"/>
      <c r="C82" s="718"/>
      <c r="D82" s="718"/>
      <c r="E82" s="737"/>
      <c r="F82" s="672"/>
      <c r="G82" s="723"/>
      <c r="H82" s="723"/>
      <c r="I82" s="672"/>
      <c r="J82" s="613"/>
    </row>
    <row r="83" spans="1:256" ht="13.5" customHeight="1" x14ac:dyDescent="0.2">
      <c r="A83" s="573" t="s">
        <v>926</v>
      </c>
      <c r="B83" s="718"/>
      <c r="C83" s="718"/>
      <c r="D83" s="718"/>
      <c r="E83" s="737"/>
      <c r="F83" s="672"/>
      <c r="G83" s="723"/>
      <c r="H83" s="723"/>
      <c r="I83" s="672"/>
      <c r="J83" s="613"/>
    </row>
    <row r="84" spans="1:256" ht="13.5" customHeight="1" x14ac:dyDescent="0.2">
      <c r="A84" s="573" t="s">
        <v>927</v>
      </c>
      <c r="B84" s="718"/>
      <c r="C84" s="718">
        <v>4865</v>
      </c>
      <c r="D84" s="718">
        <v>1140</v>
      </c>
      <c r="E84" s="738"/>
      <c r="F84" s="672"/>
      <c r="G84" s="570">
        <v>4837</v>
      </c>
      <c r="H84" s="570">
        <v>1140</v>
      </c>
      <c r="I84" s="293">
        <f>G84*H84</f>
        <v>5514180</v>
      </c>
      <c r="J84" s="613"/>
    </row>
    <row r="85" spans="1:256" ht="30" customHeight="1" x14ac:dyDescent="0.2">
      <c r="A85" s="715" t="s">
        <v>928</v>
      </c>
      <c r="B85" s="718"/>
      <c r="C85" s="718"/>
      <c r="D85" s="718"/>
      <c r="E85" s="738"/>
      <c r="F85" s="672"/>
      <c r="G85" s="718"/>
      <c r="H85" s="718"/>
      <c r="I85" s="293">
        <v>0</v>
      </c>
      <c r="J85" s="613"/>
    </row>
    <row r="86" spans="1:256" ht="13.5" customHeight="1" x14ac:dyDescent="0.2">
      <c r="A86" s="729"/>
      <c r="B86" s="734"/>
      <c r="C86" s="718"/>
      <c r="D86" s="732"/>
      <c r="E86" s="718"/>
      <c r="F86" s="672"/>
      <c r="G86" s="723"/>
      <c r="H86" s="723"/>
      <c r="I86" s="672"/>
      <c r="J86" s="613"/>
      <c r="K86" s="724"/>
    </row>
    <row r="87" spans="1:256" ht="25.5" customHeight="1" x14ac:dyDescent="0.2">
      <c r="A87" s="739" t="s">
        <v>929</v>
      </c>
      <c r="B87" s="734"/>
      <c r="C87" s="740"/>
      <c r="D87" s="718"/>
      <c r="E87" s="721"/>
      <c r="F87" s="734"/>
      <c r="G87" s="723"/>
      <c r="H87" s="723"/>
      <c r="I87" s="672"/>
      <c r="J87" s="613"/>
      <c r="K87" s="724"/>
      <c r="L87" s="724"/>
      <c r="N87" s="292"/>
    </row>
    <row r="88" spans="1:256" ht="13.5" customHeight="1" thickBot="1" x14ac:dyDescent="0.25">
      <c r="A88" s="741"/>
      <c r="B88" s="742"/>
      <c r="C88" s="743"/>
      <c r="D88" s="744"/>
      <c r="E88" s="743"/>
      <c r="F88" s="745"/>
      <c r="G88" s="746"/>
      <c r="H88" s="746"/>
      <c r="I88" s="745"/>
      <c r="J88" s="613"/>
    </row>
    <row r="89" spans="1:256" ht="11.25" customHeight="1" thickBot="1" x14ac:dyDescent="0.25">
      <c r="A89" s="747" t="s">
        <v>930</v>
      </c>
      <c r="B89" s="748"/>
      <c r="C89" s="748"/>
      <c r="D89" s="749"/>
      <c r="E89" s="750">
        <f>E12+E14+E17+E20+E23+E28+E31+E34+E39+E40+E41+E42+E44+E49+E51+E54+E58+E59+E63+E64+E67+E68+E69+E72+E74+E75+E77+E78</f>
        <v>987821085</v>
      </c>
      <c r="F89" s="1162">
        <f>I12+I16+I19+I22+I25+I28+I31+I34+I35+I39+I40+I41+I42+I44+I49+I50+I51+I52+I54+I58+I59+I66+I67+I68+I69+I72+I74+I75+I77+I78+I79+I80+I84+I45+I46+I43+I55</f>
        <v>992732374</v>
      </c>
      <c r="G89" s="1162"/>
      <c r="H89" s="1162"/>
      <c r="I89" s="1163"/>
      <c r="J89" s="7"/>
      <c r="K89" s="751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4"/>
      <c r="B91" s="194"/>
      <c r="C91" s="194"/>
      <c r="D91" s="194"/>
      <c r="E91" s="19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0"/>
  <sheetViews>
    <sheetView topLeftCell="A13" workbookViewId="0">
      <selection activeCell="Q12" sqref="Q12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51" customWidth="1"/>
    <col min="6" max="6" width="15.140625" style="3" customWidth="1"/>
    <col min="7" max="7" width="0" style="251" hidden="1" customWidth="1"/>
    <col min="8" max="8" width="0" style="303" hidden="1" customWidth="1"/>
    <col min="9" max="9" width="10.28515625" style="251" hidden="1" customWidth="1"/>
    <col min="10" max="16384" width="9.140625" style="4"/>
  </cols>
  <sheetData>
    <row r="1" spans="1:10" x14ac:dyDescent="0.2">
      <c r="A1" s="1175" t="s">
        <v>1231</v>
      </c>
      <c r="B1" s="1175"/>
      <c r="C1" s="1175"/>
      <c r="D1" s="1175"/>
      <c r="E1" s="1175"/>
      <c r="F1" s="1175"/>
      <c r="G1" s="1175"/>
      <c r="H1" s="1175"/>
      <c r="I1" s="1175"/>
    </row>
    <row r="3" spans="1:10" ht="15" customHeight="1" x14ac:dyDescent="0.2">
      <c r="B3" s="1178" t="s">
        <v>78</v>
      </c>
      <c r="C3" s="1178"/>
      <c r="D3" s="1178"/>
      <c r="E3" s="1178"/>
      <c r="F3" s="1178"/>
      <c r="G3" s="1179"/>
      <c r="H3" s="1179"/>
      <c r="I3" s="1179"/>
    </row>
    <row r="4" spans="1:10" ht="15" customHeight="1" x14ac:dyDescent="0.2">
      <c r="B4" s="1182" t="s">
        <v>1127</v>
      </c>
      <c r="C4" s="1182"/>
      <c r="D4" s="1182"/>
      <c r="E4" s="1182"/>
      <c r="F4" s="1182"/>
      <c r="G4" s="4"/>
      <c r="H4" s="4"/>
      <c r="I4" s="4"/>
    </row>
    <row r="5" spans="1:10" ht="15" customHeight="1" x14ac:dyDescent="0.2">
      <c r="B5" s="1178"/>
      <c r="C5" s="1178"/>
      <c r="D5" s="1178"/>
      <c r="E5" s="1178"/>
    </row>
    <row r="6" spans="1:10" ht="15" customHeight="1" x14ac:dyDescent="0.2">
      <c r="B6" s="1180" t="s">
        <v>321</v>
      </c>
      <c r="C6" s="1181"/>
      <c r="D6" s="1181"/>
      <c r="E6" s="1181"/>
      <c r="F6" s="1181"/>
      <c r="G6" s="1181"/>
      <c r="H6" s="1181"/>
      <c r="I6" s="1181"/>
    </row>
    <row r="7" spans="1:10" ht="48.75" customHeight="1" x14ac:dyDescent="0.2">
      <c r="B7" s="234" t="s">
        <v>86</v>
      </c>
      <c r="C7" s="155" t="s">
        <v>1196</v>
      </c>
      <c r="D7" s="1177" t="s">
        <v>1197</v>
      </c>
      <c r="E7" s="1177"/>
      <c r="F7" s="1177"/>
      <c r="G7" s="1177" t="s">
        <v>599</v>
      </c>
      <c r="H7" s="1177"/>
      <c r="I7" s="1177"/>
    </row>
    <row r="8" spans="1:10" ht="35.450000000000003" customHeight="1" x14ac:dyDescent="0.2">
      <c r="B8" s="235"/>
      <c r="C8" s="31"/>
      <c r="D8" s="156" t="s">
        <v>62</v>
      </c>
      <c r="E8" s="236" t="s">
        <v>63</v>
      </c>
      <c r="F8" s="236" t="s">
        <v>1198</v>
      </c>
      <c r="G8" s="4"/>
      <c r="H8" s="4"/>
      <c r="I8" s="4"/>
    </row>
    <row r="9" spans="1:10" ht="15.95" customHeight="1" x14ac:dyDescent="0.2">
      <c r="B9" s="237" t="s">
        <v>611</v>
      </c>
      <c r="C9" s="238"/>
      <c r="D9" s="239"/>
      <c r="E9" s="240"/>
      <c r="F9" s="490"/>
      <c r="G9" s="4"/>
      <c r="H9" s="4"/>
      <c r="I9" s="4"/>
      <c r="J9" s="632"/>
    </row>
    <row r="10" spans="1:10" ht="40.5" customHeight="1" x14ac:dyDescent="0.2">
      <c r="B10" s="3" t="s">
        <v>612</v>
      </c>
      <c r="C10" s="597" t="s">
        <v>596</v>
      </c>
      <c r="D10" s="928">
        <v>125390</v>
      </c>
      <c r="E10" s="271">
        <v>98610</v>
      </c>
      <c r="F10" s="491">
        <f>SUM(D10:E10)</f>
        <v>224000</v>
      </c>
      <c r="G10" s="4"/>
      <c r="H10" s="4"/>
      <c r="I10" s="4"/>
      <c r="J10" s="632"/>
    </row>
    <row r="11" spans="1:10" ht="31.5" customHeight="1" x14ac:dyDescent="0.2">
      <c r="B11" s="3" t="s">
        <v>613</v>
      </c>
      <c r="C11" s="3" t="s">
        <v>310</v>
      </c>
      <c r="D11" s="345">
        <v>241378</v>
      </c>
      <c r="E11" s="271">
        <v>307622</v>
      </c>
      <c r="F11" s="491">
        <f>SUM(D11:E11)</f>
        <v>549000</v>
      </c>
      <c r="G11" s="4"/>
      <c r="H11" s="4"/>
      <c r="I11" s="4"/>
      <c r="J11" s="673"/>
    </row>
    <row r="12" spans="1:10" ht="15.95" customHeight="1" x14ac:dyDescent="0.2">
      <c r="B12" s="3" t="s">
        <v>614</v>
      </c>
      <c r="C12" s="242" t="s">
        <v>615</v>
      </c>
      <c r="D12" s="345">
        <v>144919</v>
      </c>
      <c r="E12" s="271">
        <v>286081</v>
      </c>
      <c r="F12" s="491">
        <f>SUM(D12:E12)</f>
        <v>431000</v>
      </c>
      <c r="G12" s="4"/>
      <c r="H12" s="4"/>
      <c r="I12" s="4"/>
      <c r="J12" s="632"/>
    </row>
    <row r="13" spans="1:10" ht="15.95" customHeight="1" x14ac:dyDescent="0.2">
      <c r="B13" s="238" t="s">
        <v>616</v>
      </c>
      <c r="C13" s="242"/>
      <c r="D13" s="929">
        <f>SUM(D10:D12)</f>
        <v>511687</v>
      </c>
      <c r="E13" s="273">
        <f>SUM(E10:E12)</f>
        <v>692313</v>
      </c>
      <c r="F13" s="930">
        <f>SUM(D13:E13)</f>
        <v>1204000</v>
      </c>
      <c r="G13" s="4"/>
      <c r="H13" s="4"/>
      <c r="I13" s="4"/>
      <c r="J13" s="632"/>
    </row>
    <row r="14" spans="1:10" ht="15.95" customHeight="1" x14ac:dyDescent="0.2">
      <c r="C14" s="242"/>
      <c r="D14" s="345"/>
      <c r="E14" s="271"/>
      <c r="F14" s="491">
        <f t="shared" ref="F14:F30" si="0">SUM(D14:E14)</f>
        <v>0</v>
      </c>
      <c r="G14" s="4"/>
      <c r="H14" s="4"/>
      <c r="I14" s="4"/>
      <c r="J14" s="632"/>
    </row>
    <row r="15" spans="1:10" s="316" customFormat="1" ht="45.75" customHeight="1" x14ac:dyDescent="0.2">
      <c r="B15" s="595" t="s">
        <v>617</v>
      </c>
      <c r="C15" s="596"/>
      <c r="D15" s="929">
        <v>4500</v>
      </c>
      <c r="E15" s="273"/>
      <c r="F15" s="930">
        <f>D15+E15</f>
        <v>4500</v>
      </c>
      <c r="J15" s="633"/>
    </row>
    <row r="16" spans="1:10" ht="15.95" customHeight="1" x14ac:dyDescent="0.2">
      <c r="B16" s="238"/>
      <c r="C16" s="244"/>
      <c r="D16" s="345"/>
      <c r="E16" s="271"/>
      <c r="F16" s="491">
        <f t="shared" si="0"/>
        <v>0</v>
      </c>
      <c r="G16" s="4"/>
      <c r="H16" s="4"/>
      <c r="I16" s="4"/>
      <c r="J16" s="632"/>
    </row>
    <row r="17" spans="2:10" ht="15.95" customHeight="1" x14ac:dyDescent="0.2">
      <c r="B17" s="1176" t="s">
        <v>618</v>
      </c>
      <c r="C17" s="1176"/>
      <c r="D17" s="345"/>
      <c r="E17" s="271"/>
      <c r="F17" s="491">
        <f t="shared" si="0"/>
        <v>0</v>
      </c>
      <c r="G17" s="4"/>
      <c r="H17" s="4"/>
      <c r="I17" s="4"/>
      <c r="J17" s="632"/>
    </row>
    <row r="18" spans="2:10" ht="15.95" customHeight="1" x14ac:dyDescent="0.2">
      <c r="C18" s="242"/>
      <c r="D18" s="345"/>
      <c r="E18" s="271"/>
      <c r="F18" s="491">
        <f t="shared" si="0"/>
        <v>0</v>
      </c>
      <c r="G18" s="4"/>
      <c r="H18" s="4"/>
      <c r="I18" s="4"/>
      <c r="J18" s="632"/>
    </row>
    <row r="19" spans="2:10" ht="28.5" customHeight="1" x14ac:dyDescent="0.2">
      <c r="B19" s="245"/>
      <c r="C19" s="246"/>
      <c r="D19" s="345"/>
      <c r="E19" s="271"/>
      <c r="F19" s="491">
        <f t="shared" si="0"/>
        <v>0</v>
      </c>
      <c r="G19" s="4"/>
      <c r="H19" s="4"/>
      <c r="I19" s="4"/>
      <c r="J19" s="632"/>
    </row>
    <row r="20" spans="2:10" ht="78.75" customHeight="1" x14ac:dyDescent="0.2">
      <c r="B20" s="247" t="s">
        <v>619</v>
      </c>
      <c r="C20" s="248" t="s">
        <v>620</v>
      </c>
      <c r="D20" s="345">
        <v>17000</v>
      </c>
      <c r="E20" s="271"/>
      <c r="F20" s="491">
        <f t="shared" si="0"/>
        <v>17000</v>
      </c>
      <c r="G20" s="4"/>
      <c r="H20" s="4"/>
      <c r="I20" s="4"/>
      <c r="J20" s="632"/>
    </row>
    <row r="21" spans="2:10" s="4" customFormat="1" ht="15.95" customHeight="1" x14ac:dyDescent="0.2">
      <c r="B21" s="238" t="s">
        <v>621</v>
      </c>
      <c r="C21" s="244"/>
      <c r="D21" s="929">
        <f>SUM(D18:D20)</f>
        <v>17000</v>
      </c>
      <c r="E21" s="273"/>
      <c r="F21" s="930">
        <f t="shared" si="0"/>
        <v>17000</v>
      </c>
      <c r="J21" s="632"/>
    </row>
    <row r="22" spans="2:10" s="4" customFormat="1" ht="15.95" customHeight="1" x14ac:dyDescent="0.2">
      <c r="B22" s="238"/>
      <c r="C22" s="244"/>
      <c r="D22" s="345"/>
      <c r="E22" s="271"/>
      <c r="F22" s="491">
        <f t="shared" si="0"/>
        <v>0</v>
      </c>
      <c r="J22" s="632"/>
    </row>
    <row r="23" spans="2:10" s="4" customFormat="1" ht="15.95" customHeight="1" x14ac:dyDescent="0.2">
      <c r="B23" s="237" t="s">
        <v>622</v>
      </c>
      <c r="C23" s="244"/>
      <c r="D23" s="345"/>
      <c r="E23" s="271"/>
      <c r="F23" s="491">
        <f t="shared" si="0"/>
        <v>0</v>
      </c>
      <c r="J23" s="632"/>
    </row>
    <row r="24" spans="2:10" s="4" customFormat="1" ht="15.95" customHeight="1" x14ac:dyDescent="0.2">
      <c r="B24" s="3" t="s">
        <v>623</v>
      </c>
      <c r="C24" s="244"/>
      <c r="D24" s="345"/>
      <c r="E24" s="271"/>
      <c r="F24" s="491">
        <f t="shared" si="0"/>
        <v>0</v>
      </c>
      <c r="J24" s="632"/>
    </row>
    <row r="25" spans="2:10" s="316" customFormat="1" ht="15.95" customHeight="1" x14ac:dyDescent="0.2">
      <c r="B25" s="4" t="s">
        <v>115</v>
      </c>
      <c r="C25" s="344"/>
      <c r="D25" s="345">
        <v>820</v>
      </c>
      <c r="E25" s="271"/>
      <c r="F25" s="491">
        <f t="shared" si="0"/>
        <v>820</v>
      </c>
      <c r="G25" s="4"/>
      <c r="J25" s="633"/>
    </row>
    <row r="26" spans="2:10" s="316" customFormat="1" ht="15.95" customHeight="1" x14ac:dyDescent="0.2">
      <c r="B26" s="4" t="s">
        <v>582</v>
      </c>
      <c r="C26" s="344"/>
      <c r="D26" s="345">
        <v>9000</v>
      </c>
      <c r="E26" s="271"/>
      <c r="F26" s="491">
        <f>SUM(D26:E26)</f>
        <v>9000</v>
      </c>
      <c r="G26" s="4"/>
      <c r="J26" s="633"/>
    </row>
    <row r="27" spans="2:10" s="4" customFormat="1" ht="15.95" customHeight="1" x14ac:dyDescent="0.2">
      <c r="B27" s="3" t="s">
        <v>624</v>
      </c>
      <c r="C27" s="244"/>
      <c r="D27" s="345"/>
      <c r="E27" s="271"/>
      <c r="F27" s="491">
        <f t="shared" si="0"/>
        <v>0</v>
      </c>
      <c r="J27" s="632"/>
    </row>
    <row r="28" spans="2:10" s="4" customFormat="1" ht="15.95" customHeight="1" x14ac:dyDescent="0.2">
      <c r="B28" s="3" t="s">
        <v>625</v>
      </c>
      <c r="C28" s="244"/>
      <c r="D28" s="345"/>
      <c r="E28" s="271"/>
      <c r="F28" s="491">
        <f t="shared" si="0"/>
        <v>0</v>
      </c>
      <c r="J28" s="632"/>
    </row>
    <row r="29" spans="2:10" s="4" customFormat="1" ht="15.95" customHeight="1" x14ac:dyDescent="0.2">
      <c r="B29" s="238" t="s">
        <v>626</v>
      </c>
      <c r="C29" s="244"/>
      <c r="D29" s="929">
        <f>SUM(D24:D28)</f>
        <v>9820</v>
      </c>
      <c r="E29" s="273">
        <f>SUM(E24:E28)</f>
        <v>0</v>
      </c>
      <c r="F29" s="930">
        <f t="shared" si="0"/>
        <v>9820</v>
      </c>
      <c r="J29" s="632"/>
    </row>
    <row r="30" spans="2:10" s="4" customFormat="1" ht="15.95" customHeight="1" x14ac:dyDescent="0.2">
      <c r="B30" s="238"/>
      <c r="C30" s="244"/>
      <c r="D30" s="345"/>
      <c r="E30" s="271"/>
      <c r="F30" s="931">
        <f t="shared" si="0"/>
        <v>0</v>
      </c>
      <c r="J30" s="632"/>
    </row>
    <row r="31" spans="2:10" s="4" customFormat="1" ht="15.95" customHeight="1" x14ac:dyDescent="0.2">
      <c r="B31" s="249" t="s">
        <v>627</v>
      </c>
      <c r="C31" s="250"/>
      <c r="D31" s="932">
        <f>D13+D15+D21+D29</f>
        <v>543007</v>
      </c>
      <c r="E31" s="932">
        <f>E13+E15+E21+E29</f>
        <v>692313</v>
      </c>
      <c r="F31" s="932">
        <f>SUM(D31:E31)</f>
        <v>1235320</v>
      </c>
    </row>
    <row r="32" spans="2:10" s="4" customFormat="1" ht="15.95" customHeight="1" x14ac:dyDescent="0.2">
      <c r="B32" s="3"/>
      <c r="C32" s="3"/>
      <c r="D32" s="3"/>
      <c r="E32" s="251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80"/>
  <sheetViews>
    <sheetView topLeftCell="A41"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9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7" x14ac:dyDescent="0.2">
      <c r="B1" s="1183" t="s">
        <v>1232</v>
      </c>
      <c r="C1" s="1183"/>
      <c r="D1" s="1183"/>
      <c r="E1" s="1183"/>
    </row>
    <row r="2" spans="1:7" x14ac:dyDescent="0.2">
      <c r="B2" s="200"/>
    </row>
    <row r="3" spans="1:7" x14ac:dyDescent="0.2">
      <c r="A3" s="1186" t="s">
        <v>54</v>
      </c>
      <c r="B3" s="1186"/>
      <c r="C3" s="1186"/>
      <c r="D3" s="1186"/>
      <c r="E3" s="1186"/>
    </row>
    <row r="4" spans="1:7" ht="11.25" customHeight="1" x14ac:dyDescent="0.2">
      <c r="A4" s="1186" t="s">
        <v>1163</v>
      </c>
      <c r="B4" s="1186"/>
      <c r="C4" s="1186"/>
      <c r="D4" s="1186"/>
      <c r="E4" s="1186"/>
    </row>
    <row r="5" spans="1:7" x14ac:dyDescent="0.2">
      <c r="A5" s="1186" t="s">
        <v>725</v>
      </c>
      <c r="B5" s="1186"/>
      <c r="C5" s="1186"/>
      <c r="D5" s="1186"/>
      <c r="E5" s="1186"/>
    </row>
    <row r="6" spans="1:7" ht="12.75" x14ac:dyDescent="0.2">
      <c r="B6" s="1187" t="s">
        <v>321</v>
      </c>
      <c r="C6" s="1188"/>
      <c r="D6" s="1188"/>
      <c r="E6" s="1188"/>
    </row>
    <row r="7" spans="1:7" ht="24" customHeight="1" x14ac:dyDescent="0.2">
      <c r="A7" s="1139" t="s">
        <v>77</v>
      </c>
      <c r="B7" s="1155" t="s">
        <v>86</v>
      </c>
      <c r="C7" s="1185" t="s">
        <v>1199</v>
      </c>
      <c r="D7" s="1185"/>
      <c r="E7" s="1185"/>
    </row>
    <row r="8" spans="1:7" ht="21" x14ac:dyDescent="0.2">
      <c r="A8" s="1158"/>
      <c r="B8" s="1184"/>
      <c r="C8" s="891" t="s">
        <v>62</v>
      </c>
      <c r="D8" s="891" t="s">
        <v>63</v>
      </c>
      <c r="E8" s="891" t="s">
        <v>64</v>
      </c>
      <c r="F8" s="620"/>
    </row>
    <row r="9" spans="1:7" x14ac:dyDescent="0.2">
      <c r="A9" s="813" t="s">
        <v>508</v>
      </c>
      <c r="B9" s="894" t="s">
        <v>87</v>
      </c>
      <c r="C9" s="169"/>
      <c r="D9" s="169"/>
      <c r="E9" s="892"/>
      <c r="F9" s="888"/>
    </row>
    <row r="10" spans="1:7" ht="12" thickBot="1" x14ac:dyDescent="0.25">
      <c r="A10" s="813" t="s">
        <v>516</v>
      </c>
      <c r="B10" s="201" t="s">
        <v>88</v>
      </c>
      <c r="C10" s="296"/>
      <c r="D10" s="169"/>
      <c r="E10" s="457">
        <f>SUM(C10:D10)</f>
        <v>0</v>
      </c>
      <c r="F10" s="888"/>
    </row>
    <row r="11" spans="1:7" s="9" customFormat="1" ht="12" thickBot="1" x14ac:dyDescent="0.25">
      <c r="A11" s="813" t="s">
        <v>517</v>
      </c>
      <c r="B11" s="201" t="s">
        <v>174</v>
      </c>
      <c r="C11" s="998">
        <f>C12+C13+C14+C15+C16+C17</f>
        <v>722724</v>
      </c>
      <c r="D11" s="998">
        <f>D12+D13+D14+D15+D16+D17</f>
        <v>93769</v>
      </c>
      <c r="E11" s="1013">
        <f>SUM(C11:D11)</f>
        <v>816493</v>
      </c>
      <c r="F11" s="805"/>
    </row>
    <row r="12" spans="1:7" s="9" customFormat="1" x14ac:dyDescent="0.2">
      <c r="A12" s="813" t="s">
        <v>518</v>
      </c>
      <c r="B12" s="203" t="s">
        <v>171</v>
      </c>
      <c r="C12" s="769">
        <v>548339</v>
      </c>
      <c r="D12" s="769"/>
      <c r="E12" s="893">
        <f t="shared" ref="E12:E17" si="0">C12+D12</f>
        <v>548339</v>
      </c>
      <c r="F12" s="805"/>
    </row>
    <row r="13" spans="1:7" s="9" customFormat="1" x14ac:dyDescent="0.2">
      <c r="A13" s="813" t="s">
        <v>519</v>
      </c>
      <c r="B13" s="203" t="s">
        <v>172</v>
      </c>
      <c r="C13" s="769">
        <v>87961</v>
      </c>
      <c r="D13" s="769"/>
      <c r="E13" s="893">
        <f t="shared" si="0"/>
        <v>87961</v>
      </c>
      <c r="F13" s="805"/>
    </row>
    <row r="14" spans="1:7" s="9" customFormat="1" x14ac:dyDescent="0.2">
      <c r="A14" s="813" t="s">
        <v>520</v>
      </c>
      <c r="B14" s="203" t="s">
        <v>173</v>
      </c>
      <c r="C14" s="769">
        <v>80731</v>
      </c>
      <c r="D14" s="769">
        <v>93769</v>
      </c>
      <c r="E14" s="893">
        <f t="shared" si="0"/>
        <v>174500</v>
      </c>
      <c r="F14" s="805"/>
      <c r="G14" s="805"/>
    </row>
    <row r="15" spans="1:7" s="9" customFormat="1" x14ac:dyDescent="0.2">
      <c r="A15" s="813" t="s">
        <v>521</v>
      </c>
      <c r="B15" s="202"/>
      <c r="C15" s="169"/>
      <c r="D15" s="169"/>
      <c r="E15" s="457"/>
      <c r="F15" s="805"/>
    </row>
    <row r="16" spans="1:7" s="9" customFormat="1" x14ac:dyDescent="0.2">
      <c r="A16" s="813" t="s">
        <v>522</v>
      </c>
      <c r="B16" s="202"/>
      <c r="C16" s="169"/>
      <c r="D16" s="169"/>
      <c r="E16" s="457"/>
      <c r="F16" s="805"/>
      <c r="G16" s="805"/>
    </row>
    <row r="17" spans="1:6" s="9" customFormat="1" x14ac:dyDescent="0.2">
      <c r="A17" s="813" t="s">
        <v>523</v>
      </c>
      <c r="B17" s="203" t="s">
        <v>192</v>
      </c>
      <c r="C17" s="169">
        <v>5693</v>
      </c>
      <c r="D17" s="169"/>
      <c r="E17" s="457">
        <f t="shared" si="0"/>
        <v>5693</v>
      </c>
      <c r="F17" s="805"/>
    </row>
    <row r="18" spans="1:6" s="9" customFormat="1" ht="12" thickBot="1" x14ac:dyDescent="0.25">
      <c r="A18" s="813" t="s">
        <v>565</v>
      </c>
      <c r="B18" s="201" t="s">
        <v>175</v>
      </c>
      <c r="C18" s="173">
        <v>0</v>
      </c>
      <c r="D18" s="173"/>
      <c r="E18" s="460">
        <v>0</v>
      </c>
      <c r="F18" s="805"/>
    </row>
    <row r="19" spans="1:6" s="9" customFormat="1" ht="12" thickBot="1" x14ac:dyDescent="0.25">
      <c r="A19" s="813" t="s">
        <v>566</v>
      </c>
      <c r="B19" s="201" t="s">
        <v>202</v>
      </c>
      <c r="C19" s="1014">
        <v>0</v>
      </c>
      <c r="D19" s="1012"/>
      <c r="E19" s="458">
        <f>C19+D19</f>
        <v>0</v>
      </c>
      <c r="F19" s="805"/>
    </row>
    <row r="20" spans="1:6" s="9" customFormat="1" x14ac:dyDescent="0.2">
      <c r="A20" s="813" t="s">
        <v>567</v>
      </c>
      <c r="B20" s="201" t="s">
        <v>300</v>
      </c>
      <c r="C20" s="173">
        <v>0</v>
      </c>
      <c r="D20" s="173">
        <v>0</v>
      </c>
      <c r="E20" s="460">
        <f>C20+D20</f>
        <v>0</v>
      </c>
      <c r="F20" s="805"/>
    </row>
    <row r="21" spans="1:6" x14ac:dyDescent="0.2">
      <c r="A21" s="813" t="s">
        <v>568</v>
      </c>
      <c r="B21" s="202"/>
      <c r="C21" s="169"/>
      <c r="D21" s="169"/>
      <c r="E21" s="457"/>
      <c r="F21" s="888"/>
    </row>
    <row r="22" spans="1:6" x14ac:dyDescent="0.2">
      <c r="A22" s="813" t="s">
        <v>569</v>
      </c>
      <c r="B22" s="201" t="s">
        <v>17</v>
      </c>
      <c r="C22" s="173">
        <f>SUM(C23:C30)</f>
        <v>6592</v>
      </c>
      <c r="D22" s="173">
        <f>SUM(D23:D30)</f>
        <v>0</v>
      </c>
      <c r="E22" s="460">
        <f>SUM(C22:D22)</f>
        <v>6592</v>
      </c>
      <c r="F22" s="888"/>
    </row>
    <row r="23" spans="1:6" x14ac:dyDescent="0.2">
      <c r="A23" s="813" t="s">
        <v>570</v>
      </c>
      <c r="B23" s="203" t="s">
        <v>89</v>
      </c>
      <c r="C23" s="169"/>
      <c r="D23" s="169"/>
      <c r="E23" s="457"/>
      <c r="F23" s="888"/>
    </row>
    <row r="24" spans="1:6" x14ac:dyDescent="0.2">
      <c r="A24" s="813" t="s">
        <v>571</v>
      </c>
      <c r="B24" s="202" t="s">
        <v>1141</v>
      </c>
      <c r="C24" s="169">
        <v>467</v>
      </c>
      <c r="D24" s="169"/>
      <c r="E24" s="457">
        <f>C24+D24</f>
        <v>467</v>
      </c>
      <c r="F24" s="888"/>
    </row>
    <row r="25" spans="1:6" x14ac:dyDescent="0.2">
      <c r="A25" s="813" t="s">
        <v>572</v>
      </c>
      <c r="B25" s="202" t="s">
        <v>1142</v>
      </c>
      <c r="C25" s="169">
        <v>5275</v>
      </c>
      <c r="D25" s="169"/>
      <c r="E25" s="457">
        <f>C25+D25</f>
        <v>5275</v>
      </c>
      <c r="F25" s="888"/>
    </row>
    <row r="26" spans="1:6" x14ac:dyDescent="0.2">
      <c r="A26" s="813" t="s">
        <v>574</v>
      </c>
      <c r="B26" s="202" t="s">
        <v>1002</v>
      </c>
      <c r="C26" s="169">
        <v>0</v>
      </c>
      <c r="D26" s="169"/>
      <c r="E26" s="457">
        <f>C26+D26</f>
        <v>0</v>
      </c>
      <c r="F26" s="888"/>
    </row>
    <row r="27" spans="1:6" x14ac:dyDescent="0.2">
      <c r="A27" s="813" t="s">
        <v>575</v>
      </c>
      <c r="B27" s="202" t="s">
        <v>93</v>
      </c>
      <c r="C27" s="169">
        <v>0</v>
      </c>
      <c r="D27" s="169"/>
      <c r="E27" s="457">
        <f t="shared" ref="E27:E29" si="1">SUM(C27:D27)</f>
        <v>0</v>
      </c>
      <c r="F27" s="888"/>
    </row>
    <row r="28" spans="1:6" x14ac:dyDescent="0.2">
      <c r="A28" s="813" t="s">
        <v>576</v>
      </c>
      <c r="B28" s="202" t="s">
        <v>584</v>
      </c>
      <c r="C28" s="169">
        <v>500</v>
      </c>
      <c r="D28" s="169"/>
      <c r="E28" s="457">
        <f t="shared" si="1"/>
        <v>500</v>
      </c>
      <c r="F28" s="888"/>
    </row>
    <row r="29" spans="1:6" x14ac:dyDescent="0.2">
      <c r="A29" s="813" t="s">
        <v>577</v>
      </c>
      <c r="B29" s="202" t="s">
        <v>168</v>
      </c>
      <c r="C29" s="169">
        <v>350</v>
      </c>
      <c r="D29" s="169"/>
      <c r="E29" s="457">
        <f t="shared" si="1"/>
        <v>350</v>
      </c>
      <c r="F29" s="888"/>
    </row>
    <row r="30" spans="1:6" x14ac:dyDescent="0.2">
      <c r="A30" s="813" t="s">
        <v>578</v>
      </c>
      <c r="B30" s="202"/>
      <c r="C30" s="169"/>
      <c r="D30" s="169"/>
      <c r="E30" s="457"/>
      <c r="F30" s="888"/>
    </row>
    <row r="31" spans="1:6" x14ac:dyDescent="0.2">
      <c r="A31" s="813" t="s">
        <v>579</v>
      </c>
      <c r="B31" s="203" t="s">
        <v>71</v>
      </c>
      <c r="C31" s="173">
        <f>SUM(C32:C33)</f>
        <v>5065</v>
      </c>
      <c r="D31" s="173">
        <f t="shared" ref="D31:E31" si="2">SUM(D32:D33)</f>
        <v>0</v>
      </c>
      <c r="E31" s="460">
        <f t="shared" si="2"/>
        <v>5065</v>
      </c>
      <c r="F31" s="888"/>
    </row>
    <row r="32" spans="1:6" x14ac:dyDescent="0.2">
      <c r="A32" s="813" t="s">
        <v>580</v>
      </c>
      <c r="B32" s="180" t="s">
        <v>94</v>
      </c>
      <c r="C32" s="169">
        <v>5065</v>
      </c>
      <c r="D32" s="169"/>
      <c r="E32" s="457">
        <f t="shared" ref="E32:E33" si="3">C32+D32</f>
        <v>5065</v>
      </c>
      <c r="F32" s="888"/>
    </row>
    <row r="33" spans="1:6" x14ac:dyDescent="0.2">
      <c r="A33" s="813" t="s">
        <v>581</v>
      </c>
      <c r="B33" s="204" t="s">
        <v>95</v>
      </c>
      <c r="C33" s="169">
        <v>0</v>
      </c>
      <c r="D33" s="169"/>
      <c r="E33" s="457">
        <f t="shared" si="3"/>
        <v>0</v>
      </c>
      <c r="F33" s="888"/>
    </row>
    <row r="34" spans="1:6" x14ac:dyDescent="0.2">
      <c r="A34" s="813" t="s">
        <v>601</v>
      </c>
      <c r="B34" s="214"/>
      <c r="C34" s="169"/>
      <c r="D34" s="169"/>
      <c r="E34" s="457"/>
      <c r="F34" s="888"/>
    </row>
    <row r="35" spans="1:6" x14ac:dyDescent="0.2">
      <c r="A35" s="813" t="s">
        <v>602</v>
      </c>
      <c r="B35" s="969" t="s">
        <v>1021</v>
      </c>
      <c r="C35" s="173">
        <f>SUM(C36:C36)</f>
        <v>0</v>
      </c>
      <c r="D35" s="173">
        <f>SUM(D36:D36)</f>
        <v>0</v>
      </c>
      <c r="E35" s="173">
        <f>SUM(E36:E36)</f>
        <v>0</v>
      </c>
      <c r="F35" s="888"/>
    </row>
    <row r="36" spans="1:6" x14ac:dyDescent="0.2">
      <c r="A36" s="813" t="s">
        <v>603</v>
      </c>
      <c r="B36" s="214"/>
      <c r="C36" s="169"/>
      <c r="D36" s="169"/>
      <c r="E36" s="457"/>
      <c r="F36" s="888"/>
    </row>
    <row r="37" spans="1:6" x14ac:dyDescent="0.2">
      <c r="A37" s="813" t="s">
        <v>604</v>
      </c>
      <c r="B37" s="178" t="s">
        <v>169</v>
      </c>
      <c r="C37" s="173">
        <f>C22+C31+C35</f>
        <v>11657</v>
      </c>
      <c r="D37" s="173">
        <f>D22+D31+D35</f>
        <v>0</v>
      </c>
      <c r="E37" s="460">
        <f>E22+E31+E35</f>
        <v>11657</v>
      </c>
      <c r="F37" s="888"/>
    </row>
    <row r="38" spans="1:6" x14ac:dyDescent="0.2">
      <c r="A38" s="813" t="s">
        <v>605</v>
      </c>
      <c r="B38" s="178"/>
      <c r="C38" s="173"/>
      <c r="D38" s="173"/>
      <c r="E38" s="460"/>
      <c r="F38" s="888"/>
    </row>
    <row r="39" spans="1:6" x14ac:dyDescent="0.2">
      <c r="A39" s="813" t="s">
        <v>606</v>
      </c>
      <c r="B39" s="180" t="s">
        <v>1022</v>
      </c>
      <c r="C39" s="173"/>
      <c r="D39" s="173"/>
      <c r="E39" s="460"/>
      <c r="F39" s="888"/>
    </row>
    <row r="40" spans="1:6" x14ac:dyDescent="0.2">
      <c r="A40" s="813" t="s">
        <v>607</v>
      </c>
      <c r="B40" s="180"/>
      <c r="C40" s="173"/>
      <c r="D40" s="169"/>
      <c r="E40" s="457"/>
      <c r="F40" s="888"/>
    </row>
    <row r="41" spans="1:6" x14ac:dyDescent="0.2">
      <c r="A41" s="813" t="s">
        <v>608</v>
      </c>
      <c r="B41" s="178" t="s">
        <v>1022</v>
      </c>
      <c r="C41" s="173">
        <f>C40</f>
        <v>0</v>
      </c>
      <c r="D41" s="173">
        <f>SUM(D40:D40)</f>
        <v>0</v>
      </c>
      <c r="E41" s="460">
        <f>SUM(E40:E40)</f>
        <v>0</v>
      </c>
      <c r="F41" s="888"/>
    </row>
    <row r="42" spans="1:6" ht="12" thickBot="1" x14ac:dyDescent="0.25">
      <c r="A42" s="813" t="s">
        <v>609</v>
      </c>
      <c r="B42" s="178"/>
      <c r="C42" s="173"/>
      <c r="D42" s="173"/>
      <c r="E42" s="460"/>
      <c r="F42" s="888"/>
    </row>
    <row r="43" spans="1:6" ht="12" thickBot="1" x14ac:dyDescent="0.25">
      <c r="A43" s="813" t="s">
        <v>664</v>
      </c>
      <c r="B43" s="178" t="s">
        <v>96</v>
      </c>
      <c r="C43" s="994">
        <f>C11+C18+C37+C19+C20</f>
        <v>734381</v>
      </c>
      <c r="D43" s="310">
        <f>D11+D18+ID19+D20+D22+D31+D35+D41</f>
        <v>93769</v>
      </c>
      <c r="E43" s="984">
        <f>E11+E18+IE19+E20+E22+E31+E35+E41+E19</f>
        <v>828150</v>
      </c>
      <c r="F43" s="888"/>
    </row>
    <row r="44" spans="1:6" x14ac:dyDescent="0.2">
      <c r="A44" s="813" t="s">
        <v>665</v>
      </c>
      <c r="B44" s="178"/>
      <c r="C44" s="173"/>
      <c r="D44" s="173"/>
      <c r="E44" s="460"/>
      <c r="F44" s="888"/>
    </row>
    <row r="45" spans="1:6" x14ac:dyDescent="0.2">
      <c r="A45" s="813" t="s">
        <v>666</v>
      </c>
      <c r="B45" s="889" t="s">
        <v>708</v>
      </c>
      <c r="C45" s="173"/>
      <c r="D45" s="173"/>
      <c r="E45" s="460"/>
      <c r="F45" s="888"/>
    </row>
    <row r="46" spans="1:6" x14ac:dyDescent="0.2">
      <c r="A46" s="813" t="s">
        <v>667</v>
      </c>
      <c r="B46" s="180" t="s">
        <v>176</v>
      </c>
      <c r="C46" s="169"/>
      <c r="D46" s="169"/>
      <c r="E46" s="457"/>
      <c r="F46" s="888"/>
    </row>
    <row r="47" spans="1:6" x14ac:dyDescent="0.2">
      <c r="A47" s="813" t="s">
        <v>125</v>
      </c>
      <c r="B47" s="180" t="s">
        <v>177</v>
      </c>
      <c r="C47" s="169"/>
      <c r="D47" s="169"/>
      <c r="E47" s="457"/>
      <c r="F47" s="888"/>
    </row>
    <row r="48" spans="1:6" ht="12" thickBot="1" x14ac:dyDescent="0.25">
      <c r="A48" s="813" t="s">
        <v>693</v>
      </c>
      <c r="B48" s="178" t="s">
        <v>19</v>
      </c>
      <c r="C48" s="173">
        <f>SUM(C46:C47)</f>
        <v>0</v>
      </c>
      <c r="D48" s="173">
        <f>SUM(D46:D47)</f>
        <v>0</v>
      </c>
      <c r="E48" s="460">
        <f>SUM(E46:E47)</f>
        <v>0</v>
      </c>
      <c r="F48" s="888"/>
    </row>
    <row r="49" spans="1:6" ht="12" thickBot="1" x14ac:dyDescent="0.25">
      <c r="A49" s="813" t="s">
        <v>694</v>
      </c>
      <c r="B49" s="178" t="s">
        <v>178</v>
      </c>
      <c r="C49" s="994">
        <f>C48</f>
        <v>0</v>
      </c>
      <c r="D49" s="310">
        <f>D48</f>
        <v>0</v>
      </c>
      <c r="E49" s="984">
        <f>E48</f>
        <v>0</v>
      </c>
      <c r="F49" s="888"/>
    </row>
    <row r="50" spans="1:6" x14ac:dyDescent="0.2">
      <c r="A50" s="813" t="s">
        <v>128</v>
      </c>
      <c r="B50" s="178"/>
      <c r="C50" s="169"/>
      <c r="D50" s="169"/>
      <c r="E50" s="457"/>
      <c r="F50" s="888"/>
    </row>
    <row r="51" spans="1:6" x14ac:dyDescent="0.2">
      <c r="A51" s="813" t="s">
        <v>129</v>
      </c>
      <c r="B51" s="889" t="s">
        <v>98</v>
      </c>
      <c r="C51" s="296"/>
      <c r="D51" s="296"/>
      <c r="E51" s="485"/>
      <c r="F51" s="888"/>
    </row>
    <row r="52" spans="1:6" x14ac:dyDescent="0.2">
      <c r="A52" s="813" t="s">
        <v>130</v>
      </c>
      <c r="B52" s="178" t="s">
        <v>17</v>
      </c>
      <c r="C52" s="296"/>
      <c r="D52" s="296"/>
      <c r="E52" s="485"/>
      <c r="F52" s="888"/>
    </row>
    <row r="53" spans="1:6" x14ac:dyDescent="0.2">
      <c r="A53" s="813" t="s">
        <v>133</v>
      </c>
      <c r="B53" s="180" t="s">
        <v>97</v>
      </c>
      <c r="C53" s="296">
        <v>10370</v>
      </c>
      <c r="D53" s="296"/>
      <c r="E53" s="485">
        <f>SUM(C53:D53)</f>
        <v>10370</v>
      </c>
      <c r="F53" s="888"/>
    </row>
    <row r="54" spans="1:6" x14ac:dyDescent="0.2">
      <c r="A54" s="813" t="s">
        <v>136</v>
      </c>
      <c r="B54" s="180" t="s">
        <v>318</v>
      </c>
      <c r="C54" s="296">
        <v>9089</v>
      </c>
      <c r="D54" s="296"/>
      <c r="E54" s="485">
        <f>SUM(C54:D54)</f>
        <v>9089</v>
      </c>
      <c r="F54" s="888"/>
    </row>
    <row r="55" spans="1:6" x14ac:dyDescent="0.2">
      <c r="A55" s="813" t="s">
        <v>137</v>
      </c>
      <c r="B55" s="180" t="s">
        <v>319</v>
      </c>
      <c r="C55" s="296">
        <v>432</v>
      </c>
      <c r="D55" s="296"/>
      <c r="E55" s="485">
        <f>SUM(C55:D55)</f>
        <v>432</v>
      </c>
      <c r="F55" s="888"/>
    </row>
    <row r="56" spans="1:6" x14ac:dyDescent="0.2">
      <c r="A56" s="813" t="s">
        <v>138</v>
      </c>
      <c r="B56" s="180" t="s">
        <v>177</v>
      </c>
      <c r="C56" s="296"/>
      <c r="D56" s="296"/>
      <c r="E56" s="485"/>
      <c r="F56" s="888"/>
    </row>
    <row r="57" spans="1:6" x14ac:dyDescent="0.2">
      <c r="A57" s="813" t="s">
        <v>139</v>
      </c>
      <c r="B57" s="180" t="s">
        <v>176</v>
      </c>
      <c r="C57" s="296"/>
      <c r="D57" s="296"/>
      <c r="E57" s="485"/>
      <c r="F57" s="888"/>
    </row>
    <row r="58" spans="1:6" ht="12" thickBot="1" x14ac:dyDescent="0.25">
      <c r="A58" s="813" t="s">
        <v>142</v>
      </c>
      <c r="B58" s="178" t="s">
        <v>19</v>
      </c>
      <c r="C58" s="370">
        <f>SUM(C53:C57)</f>
        <v>19891</v>
      </c>
      <c r="D58" s="370">
        <f>SUM(D53:D57)</f>
        <v>0</v>
      </c>
      <c r="E58" s="458">
        <f>SUM(E53:E57)</f>
        <v>19891</v>
      </c>
      <c r="F58" s="888"/>
    </row>
    <row r="59" spans="1:6" ht="12" thickBot="1" x14ac:dyDescent="0.25">
      <c r="A59" s="813" t="s">
        <v>145</v>
      </c>
      <c r="B59" s="890" t="s">
        <v>99</v>
      </c>
      <c r="C59" s="995">
        <f>C58</f>
        <v>19891</v>
      </c>
      <c r="D59" s="996">
        <f>D58</f>
        <v>0</v>
      </c>
      <c r="E59" s="997">
        <f>E58</f>
        <v>19891</v>
      </c>
      <c r="F59" s="888"/>
    </row>
    <row r="60" spans="1:6" s="9" customFormat="1" x14ac:dyDescent="0.2">
      <c r="A60" s="813" t="s">
        <v>148</v>
      </c>
      <c r="B60" s="178"/>
      <c r="C60" s="370"/>
      <c r="D60" s="370"/>
      <c r="E60" s="458"/>
      <c r="F60" s="805"/>
    </row>
    <row r="61" spans="1:6" s="9" customFormat="1" x14ac:dyDescent="0.2">
      <c r="A61" s="813" t="s">
        <v>149</v>
      </c>
      <c r="B61" s="178" t="s">
        <v>18</v>
      </c>
      <c r="C61" s="370">
        <f>C37+C48+C58</f>
        <v>31548</v>
      </c>
      <c r="D61" s="370">
        <f>D37+D48+D58</f>
        <v>0</v>
      </c>
      <c r="E61" s="458">
        <f>E37+E48+E58</f>
        <v>31548</v>
      </c>
      <c r="F61" s="805"/>
    </row>
    <row r="62" spans="1:6" x14ac:dyDescent="0.2">
      <c r="A62" s="813" t="s">
        <v>152</v>
      </c>
      <c r="B62" s="178" t="s">
        <v>100</v>
      </c>
      <c r="C62" s="173">
        <f>C41</f>
        <v>0</v>
      </c>
      <c r="D62" s="173">
        <f>D41</f>
        <v>0</v>
      </c>
      <c r="E62" s="460">
        <f>E41</f>
        <v>0</v>
      </c>
      <c r="F62" s="888"/>
    </row>
    <row r="63" spans="1:6" ht="12" thickBot="1" x14ac:dyDescent="0.25">
      <c r="A63" s="1054" t="s">
        <v>153</v>
      </c>
      <c r="B63" s="183"/>
      <c r="E63" s="465"/>
      <c r="F63" s="888"/>
    </row>
    <row r="64" spans="1:6" s="10" customFormat="1" ht="12" thickBot="1" x14ac:dyDescent="0.25">
      <c r="A64" s="1055" t="s">
        <v>154</v>
      </c>
      <c r="B64" s="1053" t="s">
        <v>102</v>
      </c>
      <c r="C64" s="205">
        <f>C43+C59+C49</f>
        <v>754272</v>
      </c>
      <c r="D64" s="205">
        <f>D43+D59+D49</f>
        <v>93769</v>
      </c>
      <c r="E64" s="1015">
        <f>E43+E59+E49</f>
        <v>848041</v>
      </c>
      <c r="F64" s="295"/>
    </row>
    <row r="65" spans="1:9" s="10" customFormat="1" x14ac:dyDescent="0.2">
      <c r="A65" s="164"/>
      <c r="B65" s="157"/>
      <c r="C65" s="158"/>
      <c r="D65" s="582"/>
      <c r="E65" s="582"/>
      <c r="I65" s="295"/>
    </row>
    <row r="66" spans="1:9" x14ac:dyDescent="0.2">
      <c r="B66" s="157"/>
    </row>
    <row r="67" spans="1:9" x14ac:dyDescent="0.2">
      <c r="B67" s="157"/>
    </row>
    <row r="68" spans="1:9" x14ac:dyDescent="0.2">
      <c r="B68" s="183"/>
    </row>
    <row r="69" spans="1:9" x14ac:dyDescent="0.2">
      <c r="B69" s="183"/>
    </row>
    <row r="71" spans="1:9" x14ac:dyDescent="0.2">
      <c r="B71" s="183"/>
    </row>
    <row r="72" spans="1:9" x14ac:dyDescent="0.2">
      <c r="B72" s="183"/>
    </row>
    <row r="73" spans="1:9" x14ac:dyDescent="0.2">
      <c r="B73" s="183"/>
    </row>
    <row r="74" spans="1:9" x14ac:dyDescent="0.2">
      <c r="B74" s="183"/>
    </row>
    <row r="75" spans="1:9" x14ac:dyDescent="0.2">
      <c r="B75" s="183"/>
    </row>
    <row r="76" spans="1:9" x14ac:dyDescent="0.2">
      <c r="B76" s="157"/>
    </row>
    <row r="77" spans="1:9" x14ac:dyDescent="0.2">
      <c r="B77" s="183"/>
    </row>
    <row r="78" spans="1:9" x14ac:dyDescent="0.2">
      <c r="B78" s="183"/>
    </row>
    <row r="79" spans="1:9" x14ac:dyDescent="0.2">
      <c r="B79" s="183"/>
    </row>
    <row r="80" spans="1:9" x14ac:dyDescent="0.2">
      <c r="B80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8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4" customWidth="1"/>
    <col min="2" max="2" width="9.85546875" style="194" hidden="1" customWidth="1"/>
    <col min="3" max="3" width="11.7109375" style="194" hidden="1" customWidth="1"/>
    <col min="4" max="4" width="9.85546875" style="194" hidden="1" customWidth="1"/>
    <col min="5" max="5" width="15.85546875" style="198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61" t="s">
        <v>312</v>
      </c>
      <c r="B1" s="1161"/>
      <c r="C1" s="1161"/>
      <c r="D1" s="1161"/>
      <c r="E1" s="1161"/>
      <c r="F1" s="1161"/>
      <c r="G1" s="1161"/>
      <c r="H1" s="1161"/>
      <c r="I1" s="1161"/>
    </row>
    <row r="2" spans="1:256" x14ac:dyDescent="0.2">
      <c r="F2" s="1171"/>
      <c r="G2" s="1171"/>
      <c r="H2" s="1171"/>
      <c r="I2" s="1171"/>
    </row>
    <row r="4" spans="1:256" ht="30" customHeight="1" x14ac:dyDescent="0.2">
      <c r="A4" s="1172" t="s">
        <v>78</v>
      </c>
      <c r="B4" s="1172"/>
      <c r="C4" s="1172"/>
      <c r="D4" s="1172"/>
      <c r="E4" s="1172"/>
      <c r="F4" s="1173"/>
      <c r="G4" s="1173"/>
      <c r="H4" s="1173"/>
      <c r="I4" s="1173"/>
    </row>
    <row r="5" spans="1:256" ht="33" customHeight="1" x14ac:dyDescent="0.2">
      <c r="A5" s="1172" t="s">
        <v>1137</v>
      </c>
      <c r="B5" s="1172"/>
      <c r="C5" s="1172"/>
      <c r="D5" s="1172"/>
      <c r="E5" s="1172"/>
      <c r="F5" s="1173"/>
      <c r="G5" s="1173"/>
      <c r="H5" s="1173"/>
      <c r="I5" s="1173"/>
    </row>
    <row r="7" spans="1:256" ht="13.5" thickBot="1" x14ac:dyDescent="0.25">
      <c r="E7" s="566" t="s">
        <v>20</v>
      </c>
      <c r="F7" s="1003"/>
    </row>
    <row r="8" spans="1:256" ht="30.75" customHeight="1" thickBot="1" x14ac:dyDescent="0.25">
      <c r="A8" s="1164" t="s">
        <v>79</v>
      </c>
      <c r="B8" s="1166" t="s">
        <v>116</v>
      </c>
      <c r="C8" s="1167"/>
      <c r="D8" s="1167"/>
      <c r="E8" s="1167"/>
      <c r="F8" s="1168" t="s">
        <v>1090</v>
      </c>
      <c r="G8" s="1169"/>
      <c r="H8" s="1169"/>
      <c r="I8" s="1170"/>
    </row>
    <row r="9" spans="1:256" ht="36.75" thickBot="1" x14ac:dyDescent="0.25">
      <c r="A9" s="1165"/>
      <c r="B9" s="290" t="s">
        <v>80</v>
      </c>
      <c r="C9" s="195" t="s">
        <v>81</v>
      </c>
      <c r="D9" s="195" t="s">
        <v>722</v>
      </c>
      <c r="E9" s="291" t="s">
        <v>82</v>
      </c>
      <c r="F9" s="290" t="s">
        <v>80</v>
      </c>
      <c r="G9" s="195" t="s">
        <v>81</v>
      </c>
      <c r="H9" s="195" t="s">
        <v>722</v>
      </c>
      <c r="I9" s="291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78" t="s">
        <v>83</v>
      </c>
      <c r="B10" s="579"/>
      <c r="C10" s="579"/>
      <c r="D10" s="579"/>
      <c r="E10" s="579"/>
      <c r="F10" s="580"/>
      <c r="G10" s="580"/>
      <c r="H10" s="580"/>
      <c r="I10" s="580"/>
      <c r="J10" s="613"/>
    </row>
    <row r="11" spans="1:256" ht="12.75" x14ac:dyDescent="0.2">
      <c r="A11" s="573" t="s">
        <v>862</v>
      </c>
      <c r="B11" s="718"/>
      <c r="C11" s="718"/>
      <c r="D11" s="718"/>
      <c r="E11" s="718"/>
      <c r="F11" s="782"/>
      <c r="G11" s="782"/>
      <c r="H11" s="782"/>
      <c r="I11" s="782"/>
      <c r="J11" s="613"/>
    </row>
    <row r="12" spans="1:256" ht="36" x14ac:dyDescent="0.2">
      <c r="A12" s="715" t="s">
        <v>863</v>
      </c>
      <c r="B12" s="718">
        <v>4865</v>
      </c>
      <c r="C12" s="783">
        <v>18.690000000000001</v>
      </c>
      <c r="D12" s="718">
        <v>4580000</v>
      </c>
      <c r="E12" s="718">
        <f>C12*D12</f>
        <v>85600200</v>
      </c>
      <c r="F12" s="830" t="s">
        <v>1091</v>
      </c>
      <c r="G12" s="568">
        <v>18.32</v>
      </c>
      <c r="H12" s="568">
        <v>4580000</v>
      </c>
      <c r="I12" s="569">
        <f>G12*H12</f>
        <v>83905600</v>
      </c>
      <c r="J12" s="613"/>
    </row>
    <row r="13" spans="1:256" ht="12.75" x14ac:dyDescent="0.2">
      <c r="A13" s="573" t="s">
        <v>864</v>
      </c>
      <c r="B13" s="718"/>
      <c r="C13" s="718"/>
      <c r="D13" s="718"/>
      <c r="E13" s="718"/>
      <c r="F13" s="672"/>
      <c r="G13" s="723"/>
      <c r="H13" s="723"/>
      <c r="I13" s="672"/>
      <c r="J13" s="613"/>
    </row>
    <row r="14" spans="1:256" ht="12.75" x14ac:dyDescent="0.2">
      <c r="A14" s="715" t="s">
        <v>865</v>
      </c>
      <c r="B14" s="718"/>
      <c r="C14" s="727"/>
      <c r="D14" s="718" t="s">
        <v>313</v>
      </c>
      <c r="E14" s="718">
        <v>8328800</v>
      </c>
      <c r="F14" s="672"/>
      <c r="G14" s="723"/>
      <c r="H14" s="568" t="s">
        <v>313</v>
      </c>
      <c r="I14" s="569">
        <v>8329050</v>
      </c>
      <c r="J14" s="613"/>
    </row>
    <row r="15" spans="1:256" ht="12.75" x14ac:dyDescent="0.2">
      <c r="A15" s="715" t="s">
        <v>866</v>
      </c>
      <c r="B15" s="570"/>
      <c r="C15" s="571"/>
      <c r="D15" s="570"/>
      <c r="E15" s="570"/>
      <c r="F15" s="569"/>
      <c r="G15" s="568"/>
      <c r="H15" s="568"/>
      <c r="I15" s="569">
        <v>-8329050</v>
      </c>
      <c r="J15" s="613"/>
    </row>
    <row r="16" spans="1:256" ht="24" x14ac:dyDescent="0.2">
      <c r="A16" s="715" t="s">
        <v>867</v>
      </c>
      <c r="B16" s="570"/>
      <c r="C16" s="571"/>
      <c r="D16" s="570"/>
      <c r="E16" s="570"/>
      <c r="F16" s="569"/>
      <c r="G16" s="568"/>
      <c r="H16" s="568"/>
      <c r="I16" s="569">
        <f>I14+I15</f>
        <v>0</v>
      </c>
      <c r="J16" s="613"/>
    </row>
    <row r="17" spans="1:10" ht="12.75" x14ac:dyDescent="0.2">
      <c r="A17" s="573" t="s">
        <v>868</v>
      </c>
      <c r="B17" s="718"/>
      <c r="C17" s="718"/>
      <c r="D17" s="786" t="s">
        <v>314</v>
      </c>
      <c r="E17" s="718">
        <v>18272000</v>
      </c>
      <c r="F17" s="672"/>
      <c r="G17" s="723"/>
      <c r="H17" s="568" t="s">
        <v>315</v>
      </c>
      <c r="I17" s="569">
        <v>18304000</v>
      </c>
      <c r="J17" s="613"/>
    </row>
    <row r="18" spans="1:10" ht="12.75" x14ac:dyDescent="0.2">
      <c r="A18" s="573" t="s">
        <v>866</v>
      </c>
      <c r="B18" s="570"/>
      <c r="C18" s="570"/>
      <c r="D18" s="717"/>
      <c r="E18" s="570"/>
      <c r="F18" s="569"/>
      <c r="G18" s="568"/>
      <c r="H18" s="568"/>
      <c r="I18" s="569">
        <v>-18304000</v>
      </c>
      <c r="J18" s="613"/>
    </row>
    <row r="19" spans="1:10" ht="12.75" x14ac:dyDescent="0.2">
      <c r="A19" s="573" t="s">
        <v>869</v>
      </c>
      <c r="B19" s="570"/>
      <c r="C19" s="570"/>
      <c r="D19" s="717"/>
      <c r="E19" s="570"/>
      <c r="F19" s="569"/>
      <c r="G19" s="568"/>
      <c r="H19" s="568"/>
      <c r="I19" s="569">
        <f>I17+I18</f>
        <v>0</v>
      </c>
      <c r="J19" s="613"/>
    </row>
    <row r="20" spans="1:10" ht="12.75" x14ac:dyDescent="0.2">
      <c r="A20" s="573" t="s">
        <v>870</v>
      </c>
      <c r="B20" s="718"/>
      <c r="C20" s="718" t="s">
        <v>871</v>
      </c>
      <c r="D20" s="719" t="s">
        <v>723</v>
      </c>
      <c r="E20" s="718">
        <v>1355022</v>
      </c>
      <c r="F20" s="672"/>
      <c r="G20" s="718"/>
      <c r="H20" s="720" t="s">
        <v>723</v>
      </c>
      <c r="I20" s="569">
        <v>1355022</v>
      </c>
      <c r="J20" s="613"/>
    </row>
    <row r="21" spans="1:10" ht="12.75" x14ac:dyDescent="0.2">
      <c r="A21" s="573" t="s">
        <v>872</v>
      </c>
      <c r="B21" s="570"/>
      <c r="C21" s="570"/>
      <c r="D21" s="720"/>
      <c r="E21" s="570"/>
      <c r="F21" s="569"/>
      <c r="G21" s="570"/>
      <c r="H21" s="720"/>
      <c r="I21" s="569">
        <v>-1355022</v>
      </c>
      <c r="J21" s="613"/>
    </row>
    <row r="22" spans="1:10" ht="12.75" x14ac:dyDescent="0.2">
      <c r="A22" s="573" t="s">
        <v>873</v>
      </c>
      <c r="B22" s="570"/>
      <c r="C22" s="570"/>
      <c r="D22" s="720"/>
      <c r="E22" s="570"/>
      <c r="F22" s="569"/>
      <c r="G22" s="570"/>
      <c r="H22" s="720"/>
      <c r="I22" s="569">
        <f>I20+I21</f>
        <v>0</v>
      </c>
      <c r="J22" s="613"/>
    </row>
    <row r="23" spans="1:10" ht="12.75" x14ac:dyDescent="0.2">
      <c r="A23" s="573" t="s">
        <v>874</v>
      </c>
      <c r="B23" s="718"/>
      <c r="C23" s="727"/>
      <c r="D23" s="786" t="s">
        <v>724</v>
      </c>
      <c r="E23" s="718">
        <v>6369620</v>
      </c>
      <c r="F23" s="672"/>
      <c r="G23" s="723"/>
      <c r="H23" s="717" t="s">
        <v>724</v>
      </c>
      <c r="I23" s="569">
        <v>6369620</v>
      </c>
      <c r="J23" s="613"/>
    </row>
    <row r="24" spans="1:10" ht="12.75" x14ac:dyDescent="0.2">
      <c r="A24" s="573" t="s">
        <v>872</v>
      </c>
      <c r="B24" s="570"/>
      <c r="C24" s="571"/>
      <c r="D24" s="717"/>
      <c r="E24" s="570"/>
      <c r="F24" s="569"/>
      <c r="G24" s="568"/>
      <c r="H24" s="717"/>
      <c r="I24" s="569">
        <v>-6369620</v>
      </c>
      <c r="J24" s="613"/>
    </row>
    <row r="25" spans="1:10" ht="12.75" x14ac:dyDescent="0.2">
      <c r="A25" s="573" t="s">
        <v>875</v>
      </c>
      <c r="B25" s="570"/>
      <c r="C25" s="571"/>
      <c r="D25" s="717"/>
      <c r="E25" s="570"/>
      <c r="F25" s="569"/>
      <c r="G25" s="568"/>
      <c r="H25" s="717"/>
      <c r="I25" s="569">
        <f>I23+I24</f>
        <v>0</v>
      </c>
      <c r="J25" s="613"/>
    </row>
    <row r="26" spans="1:10" ht="12.75" x14ac:dyDescent="0.2">
      <c r="A26" s="573" t="s">
        <v>876</v>
      </c>
      <c r="B26" s="718">
        <v>4865</v>
      </c>
      <c r="C26" s="718"/>
      <c r="D26" s="718">
        <v>2700</v>
      </c>
      <c r="E26" s="718">
        <f>B26*D26</f>
        <v>13135500</v>
      </c>
      <c r="F26" s="569">
        <v>4705</v>
      </c>
      <c r="G26" s="723"/>
      <c r="H26" s="570">
        <v>2700</v>
      </c>
      <c r="I26" s="569">
        <f>F26*H26</f>
        <v>12703500</v>
      </c>
      <c r="J26" s="613"/>
    </row>
    <row r="27" spans="1:10" ht="12.75" x14ac:dyDescent="0.2">
      <c r="A27" s="573" t="s">
        <v>877</v>
      </c>
      <c r="B27" s="570"/>
      <c r="C27" s="570"/>
      <c r="D27" s="570"/>
      <c r="E27" s="570">
        <v>-13135500</v>
      </c>
      <c r="F27" s="569"/>
      <c r="G27" s="568"/>
      <c r="H27" s="568"/>
      <c r="I27" s="569">
        <v>-12703500</v>
      </c>
      <c r="J27" s="613"/>
    </row>
    <row r="28" spans="1:10" ht="12.75" x14ac:dyDescent="0.2">
      <c r="A28" s="573" t="s">
        <v>878</v>
      </c>
      <c r="B28" s="570"/>
      <c r="C28" s="570"/>
      <c r="D28" s="570"/>
      <c r="E28" s="570">
        <f>E26+E27</f>
        <v>0</v>
      </c>
      <c r="F28" s="569"/>
      <c r="G28" s="568"/>
      <c r="H28" s="568"/>
      <c r="I28" s="569">
        <f>I26+I27</f>
        <v>0</v>
      </c>
      <c r="J28" s="613"/>
    </row>
    <row r="29" spans="1:10" ht="12.75" x14ac:dyDescent="0.2">
      <c r="A29" s="573" t="s">
        <v>879</v>
      </c>
      <c r="B29" s="718">
        <v>10</v>
      </c>
      <c r="C29" s="718"/>
      <c r="D29" s="718" t="s">
        <v>316</v>
      </c>
      <c r="E29" s="721">
        <v>25500</v>
      </c>
      <c r="F29" s="1004">
        <v>21</v>
      </c>
      <c r="G29" s="723"/>
      <c r="H29" s="570" t="s">
        <v>316</v>
      </c>
      <c r="I29" s="1004">
        <v>53550</v>
      </c>
      <c r="J29" s="613"/>
    </row>
    <row r="30" spans="1:10" ht="12.75" x14ac:dyDescent="0.2">
      <c r="A30" s="573" t="s">
        <v>880</v>
      </c>
      <c r="B30" s="570"/>
      <c r="C30" s="570"/>
      <c r="D30" s="570"/>
      <c r="E30" s="570">
        <v>-25500</v>
      </c>
      <c r="F30" s="569"/>
      <c r="G30" s="568"/>
      <c r="H30" s="568"/>
      <c r="I30" s="1004">
        <v>-53550</v>
      </c>
      <c r="J30" s="613"/>
    </row>
    <row r="31" spans="1:10" ht="12.75" x14ac:dyDescent="0.2">
      <c r="A31" s="573" t="s">
        <v>881</v>
      </c>
      <c r="B31" s="718"/>
      <c r="C31" s="718"/>
      <c r="D31" s="718"/>
      <c r="E31" s="721">
        <v>0</v>
      </c>
      <c r="F31" s="672"/>
      <c r="G31" s="723"/>
      <c r="H31" s="723"/>
      <c r="I31" s="1004">
        <f>I29+I30</f>
        <v>0</v>
      </c>
      <c r="J31" s="613"/>
    </row>
    <row r="32" spans="1:10" ht="12.75" x14ac:dyDescent="0.2">
      <c r="A32" s="785" t="s">
        <v>991</v>
      </c>
      <c r="B32" s="718"/>
      <c r="C32" s="718">
        <v>487729000</v>
      </c>
      <c r="D32" s="727">
        <v>1.55</v>
      </c>
      <c r="E32" s="718">
        <f>C32*D32</f>
        <v>755979950</v>
      </c>
      <c r="F32" s="672"/>
      <c r="G32" s="569">
        <v>540752027</v>
      </c>
      <c r="H32" s="571">
        <v>1</v>
      </c>
      <c r="I32" s="569">
        <f>G32*H32</f>
        <v>540752027</v>
      </c>
      <c r="J32" s="613"/>
    </row>
    <row r="33" spans="1:18" ht="12.75" x14ac:dyDescent="0.2">
      <c r="A33" s="573" t="s">
        <v>877</v>
      </c>
      <c r="B33" s="570"/>
      <c r="C33" s="570"/>
      <c r="D33" s="574"/>
      <c r="E33" s="570">
        <v>-98054262</v>
      </c>
      <c r="F33" s="569"/>
      <c r="G33" s="568"/>
      <c r="H33" s="568"/>
      <c r="I33" s="1004">
        <v>-76318159</v>
      </c>
      <c r="J33" s="613"/>
    </row>
    <row r="34" spans="1:18" ht="12.75" x14ac:dyDescent="0.2">
      <c r="A34" s="573" t="s">
        <v>883</v>
      </c>
      <c r="B34" s="718"/>
      <c r="C34" s="718"/>
      <c r="D34" s="732"/>
      <c r="E34" s="718">
        <f>E32+E33</f>
        <v>657925688</v>
      </c>
      <c r="F34" s="672"/>
      <c r="G34" s="723"/>
      <c r="H34" s="723"/>
      <c r="I34" s="1004">
        <f>I32+I33</f>
        <v>464433868</v>
      </c>
      <c r="J34" s="613"/>
    </row>
    <row r="35" spans="1:18" ht="12.75" x14ac:dyDescent="0.2">
      <c r="A35" s="722" t="s">
        <v>1092</v>
      </c>
      <c r="B35" s="718"/>
      <c r="C35" s="718"/>
      <c r="D35" s="718"/>
      <c r="E35" s="718">
        <v>0</v>
      </c>
      <c r="F35" s="672"/>
      <c r="G35" s="723"/>
      <c r="H35" s="723"/>
      <c r="I35" s="569">
        <v>0</v>
      </c>
      <c r="J35" s="613"/>
      <c r="K35" s="1005">
        <f>I12+I16+I19+I25+I28+I31+I34+I35</f>
        <v>548339468</v>
      </c>
      <c r="L35" s="6" t="s">
        <v>959</v>
      </c>
    </row>
    <row r="36" spans="1:18" ht="24" x14ac:dyDescent="0.2">
      <c r="A36" s="715" t="s">
        <v>1093</v>
      </c>
      <c r="B36" s="718"/>
      <c r="C36" s="718"/>
      <c r="D36" s="718"/>
      <c r="E36" s="718"/>
      <c r="F36" s="672"/>
      <c r="G36" s="723"/>
      <c r="H36" s="723"/>
      <c r="I36" s="569">
        <v>0</v>
      </c>
      <c r="J36" s="613"/>
      <c r="K36" s="724"/>
    </row>
    <row r="37" spans="1:18" ht="12.75" x14ac:dyDescent="0.2">
      <c r="A37" s="722"/>
      <c r="B37" s="718"/>
      <c r="C37" s="718"/>
      <c r="D37" s="718"/>
      <c r="E37" s="718"/>
      <c r="F37" s="672"/>
      <c r="G37" s="723"/>
      <c r="H37" s="723"/>
      <c r="I37" s="672"/>
      <c r="J37" s="613"/>
      <c r="K37" s="724"/>
    </row>
    <row r="38" spans="1:18" ht="12.75" x14ac:dyDescent="0.2">
      <c r="A38" s="725" t="s">
        <v>84</v>
      </c>
      <c r="B38" s="718"/>
      <c r="C38" s="718"/>
      <c r="D38" s="718"/>
      <c r="E38" s="718"/>
      <c r="F38" s="672"/>
      <c r="G38" s="723"/>
      <c r="H38" s="723"/>
      <c r="I38" s="672"/>
      <c r="J38" s="613"/>
    </row>
    <row r="39" spans="1:18" ht="24" x14ac:dyDescent="0.2">
      <c r="A39" s="715" t="s">
        <v>885</v>
      </c>
      <c r="B39" s="718"/>
      <c r="C39" s="718"/>
      <c r="D39" s="718"/>
      <c r="E39" s="718"/>
      <c r="F39" s="672"/>
      <c r="G39" s="723"/>
      <c r="H39" s="723"/>
      <c r="I39" s="672"/>
      <c r="J39" s="613"/>
    </row>
    <row r="40" spans="1:18" ht="12.75" x14ac:dyDescent="0.2">
      <c r="A40" s="715" t="s">
        <v>886</v>
      </c>
      <c r="B40" s="718"/>
      <c r="C40" s="727">
        <v>13.1</v>
      </c>
      <c r="D40" s="718">
        <v>4152000</v>
      </c>
      <c r="E40" s="718">
        <f>C40*D40*8/12</f>
        <v>36260800</v>
      </c>
      <c r="F40" s="1006" t="s">
        <v>1138</v>
      </c>
      <c r="G40" s="1007">
        <v>12.5</v>
      </c>
      <c r="H40" s="999">
        <v>4419000</v>
      </c>
      <c r="I40" s="1004">
        <f>G40*8/12*4419000</f>
        <v>36825000</v>
      </c>
      <c r="J40" s="613"/>
    </row>
    <row r="41" spans="1:18" ht="12.75" x14ac:dyDescent="0.2">
      <c r="A41" s="715" t="s">
        <v>887</v>
      </c>
      <c r="B41" s="718"/>
      <c r="C41" s="727">
        <v>13.1</v>
      </c>
      <c r="D41" s="728">
        <v>4152000</v>
      </c>
      <c r="E41" s="718">
        <f>C41*D41*4/12</f>
        <v>18130400</v>
      </c>
      <c r="F41" s="1006" t="s">
        <v>1138</v>
      </c>
      <c r="G41" s="1008">
        <v>12.5</v>
      </c>
      <c r="H41" s="999">
        <v>4419000</v>
      </c>
      <c r="I41" s="1004">
        <f>G41*4/12*H41</f>
        <v>18412500</v>
      </c>
      <c r="J41" s="613"/>
    </row>
    <row r="42" spans="1:18" ht="24" x14ac:dyDescent="0.2">
      <c r="A42" s="715" t="s">
        <v>888</v>
      </c>
      <c r="B42" s="718"/>
      <c r="C42" s="718">
        <v>10</v>
      </c>
      <c r="D42" s="718">
        <v>1800000</v>
      </c>
      <c r="E42" s="721">
        <f>C42*D42*8/12</f>
        <v>12000000</v>
      </c>
      <c r="F42" s="784"/>
      <c r="G42" s="726">
        <v>9</v>
      </c>
      <c r="H42" s="999">
        <v>2205000</v>
      </c>
      <c r="I42" s="569">
        <f>G42*H42*8/12</f>
        <v>13230000</v>
      </c>
      <c r="J42" s="613"/>
    </row>
    <row r="43" spans="1:18" ht="24" x14ac:dyDescent="0.2">
      <c r="A43" s="715" t="s">
        <v>992</v>
      </c>
      <c r="B43" s="718"/>
      <c r="C43" s="718"/>
      <c r="D43" s="718"/>
      <c r="E43" s="721"/>
      <c r="F43" s="672"/>
      <c r="G43" s="726">
        <v>0</v>
      </c>
      <c r="H43" s="999">
        <v>4419000</v>
      </c>
      <c r="I43" s="569">
        <f>G43*H43*8/12</f>
        <v>0</v>
      </c>
      <c r="J43" s="613"/>
    </row>
    <row r="44" spans="1:18" ht="24" x14ac:dyDescent="0.2">
      <c r="A44" s="715" t="s">
        <v>890</v>
      </c>
      <c r="B44" s="718"/>
      <c r="C44" s="718">
        <v>10</v>
      </c>
      <c r="D44" s="718">
        <v>1800000</v>
      </c>
      <c r="E44" s="718">
        <f>C44*D44*4/12</f>
        <v>6000000</v>
      </c>
      <c r="F44" s="672"/>
      <c r="G44" s="726">
        <v>9</v>
      </c>
      <c r="H44" s="999">
        <v>2205000</v>
      </c>
      <c r="I44" s="569">
        <f>G44*H44*4/12</f>
        <v>6615000</v>
      </c>
      <c r="J44" s="614"/>
    </row>
    <row r="45" spans="1:18" ht="39" x14ac:dyDescent="0.2">
      <c r="A45" s="715" t="s">
        <v>993</v>
      </c>
      <c r="B45" s="718"/>
      <c r="C45" s="718"/>
      <c r="D45" s="718"/>
      <c r="E45" s="718"/>
      <c r="F45" s="672"/>
      <c r="G45" s="726">
        <v>0</v>
      </c>
      <c r="H45" s="999">
        <v>4419000</v>
      </c>
      <c r="I45" s="569">
        <f>G45*H45*4/12</f>
        <v>0</v>
      </c>
      <c r="J45" s="614"/>
      <c r="K45" s="895" t="s">
        <v>960</v>
      </c>
      <c r="L45" s="724">
        <f>I12+I14+I17+I20+I23+I26+I29+I32</f>
        <v>671772369</v>
      </c>
      <c r="N45" s="896" t="s">
        <v>1139</v>
      </c>
      <c r="O45" s="724">
        <v>123432901</v>
      </c>
      <c r="P45" s="724">
        <f>I15+I18+I21+I24+I27+I30</f>
        <v>-47114742</v>
      </c>
      <c r="Q45" s="724">
        <f>O45+P45</f>
        <v>76318159</v>
      </c>
      <c r="R45" s="896" t="s">
        <v>961</v>
      </c>
    </row>
    <row r="46" spans="1:18" ht="12.75" x14ac:dyDescent="0.2">
      <c r="A46" s="573" t="s">
        <v>893</v>
      </c>
      <c r="B46" s="718"/>
      <c r="C46" s="718"/>
      <c r="D46" s="718"/>
      <c r="E46" s="718"/>
      <c r="F46" s="672"/>
      <c r="G46" s="723"/>
      <c r="H46" s="723"/>
      <c r="I46" s="672"/>
      <c r="J46" s="613"/>
    </row>
    <row r="47" spans="1:18" ht="24" x14ac:dyDescent="0.2">
      <c r="A47" s="715" t="s">
        <v>994</v>
      </c>
      <c r="B47" s="718"/>
      <c r="C47" s="718">
        <v>142</v>
      </c>
      <c r="D47" s="718">
        <v>70000</v>
      </c>
      <c r="E47" s="718">
        <f>C47*D47*8/12</f>
        <v>6626666.666666667</v>
      </c>
      <c r="F47" s="830"/>
      <c r="G47" s="1004">
        <v>138</v>
      </c>
      <c r="H47" s="570">
        <v>81700</v>
      </c>
      <c r="I47" s="1004">
        <f>G47*H47*8/12</f>
        <v>7516400</v>
      </c>
      <c r="J47" s="613"/>
    </row>
    <row r="48" spans="1:18" ht="24" x14ac:dyDescent="0.2">
      <c r="A48" s="715" t="s">
        <v>995</v>
      </c>
      <c r="B48" s="718"/>
      <c r="C48" s="718"/>
      <c r="D48" s="718"/>
      <c r="E48" s="718"/>
      <c r="F48" s="830"/>
      <c r="G48" s="569">
        <v>0</v>
      </c>
      <c r="H48" s="570">
        <v>80000</v>
      </c>
      <c r="I48" s="569">
        <v>0</v>
      </c>
      <c r="J48" s="613"/>
    </row>
    <row r="49" spans="1:12" ht="24" x14ac:dyDescent="0.2">
      <c r="A49" s="715" t="s">
        <v>942</v>
      </c>
      <c r="B49" s="718"/>
      <c r="C49" s="718">
        <v>142</v>
      </c>
      <c r="D49" s="718">
        <v>70000</v>
      </c>
      <c r="E49" s="718">
        <f>C49*D49*4/12</f>
        <v>3313333.3333333335</v>
      </c>
      <c r="F49" s="784"/>
      <c r="G49" s="569">
        <v>138</v>
      </c>
      <c r="H49" s="570">
        <v>81700</v>
      </c>
      <c r="I49" s="1004">
        <f>G49*H49*4/12</f>
        <v>3758200</v>
      </c>
      <c r="J49" s="613"/>
    </row>
    <row r="50" spans="1:12" ht="24" x14ac:dyDescent="0.2">
      <c r="A50" s="715" t="s">
        <v>996</v>
      </c>
      <c r="B50" s="718"/>
      <c r="C50" s="718"/>
      <c r="D50" s="718"/>
      <c r="E50" s="718"/>
      <c r="F50" s="784"/>
      <c r="G50" s="569">
        <v>0</v>
      </c>
      <c r="H50" s="570">
        <v>80000</v>
      </c>
      <c r="I50" s="569">
        <v>0</v>
      </c>
      <c r="J50" s="613"/>
    </row>
    <row r="51" spans="1:12" ht="12.75" x14ac:dyDescent="0.2">
      <c r="A51" s="573" t="s">
        <v>943</v>
      </c>
      <c r="B51" s="718"/>
      <c r="C51" s="718"/>
      <c r="D51" s="718"/>
      <c r="E51" s="718"/>
      <c r="F51" s="672"/>
      <c r="G51" s="723"/>
      <c r="H51" s="723"/>
      <c r="I51" s="672"/>
      <c r="J51" s="613"/>
    </row>
    <row r="52" spans="1:12" ht="48" x14ac:dyDescent="0.2">
      <c r="A52" s="715" t="s">
        <v>1094</v>
      </c>
      <c r="B52" s="718"/>
      <c r="C52" s="718">
        <v>5</v>
      </c>
      <c r="D52" s="788" t="s">
        <v>317</v>
      </c>
      <c r="E52" s="718">
        <v>1760000</v>
      </c>
      <c r="F52" s="672"/>
      <c r="G52" s="1009">
        <v>4</v>
      </c>
      <c r="H52" s="569">
        <v>401000</v>
      </c>
      <c r="I52" s="1004">
        <f>G52*H52</f>
        <v>1604000</v>
      </c>
      <c r="J52" s="613"/>
    </row>
    <row r="53" spans="1:12" ht="48" x14ac:dyDescent="0.2">
      <c r="A53" s="715" t="s">
        <v>1095</v>
      </c>
      <c r="B53" s="718"/>
      <c r="C53" s="718"/>
      <c r="D53" s="718"/>
      <c r="E53" s="718"/>
      <c r="F53" s="672"/>
      <c r="G53" s="568">
        <v>0</v>
      </c>
      <c r="H53" s="569">
        <v>367583</v>
      </c>
      <c r="I53" s="569">
        <f>G53*H53</f>
        <v>0</v>
      </c>
      <c r="J53" s="613"/>
      <c r="K53" s="1005">
        <f>SUM(I40:I53)</f>
        <v>87961100</v>
      </c>
      <c r="L53" s="6" t="s">
        <v>962</v>
      </c>
    </row>
    <row r="54" spans="1:12" ht="12.75" x14ac:dyDescent="0.2">
      <c r="A54" s="715"/>
      <c r="B54" s="718"/>
      <c r="C54" s="718"/>
      <c r="D54" s="718"/>
      <c r="E54" s="718"/>
      <c r="F54" s="672"/>
      <c r="G54" s="723"/>
      <c r="H54" s="723"/>
      <c r="I54" s="672"/>
      <c r="J54" s="613"/>
      <c r="K54" s="724"/>
    </row>
    <row r="55" spans="1:12" ht="12.75" x14ac:dyDescent="0.2">
      <c r="A55" s="725" t="s">
        <v>85</v>
      </c>
      <c r="B55" s="718"/>
      <c r="C55" s="718"/>
      <c r="D55" s="718"/>
      <c r="E55" s="718"/>
      <c r="F55" s="672"/>
      <c r="G55" s="723"/>
      <c r="H55" s="723"/>
      <c r="I55" s="672"/>
      <c r="J55" s="613"/>
    </row>
    <row r="56" spans="1:12" ht="12.75" x14ac:dyDescent="0.2">
      <c r="A56" s="722" t="s">
        <v>1096</v>
      </c>
      <c r="B56" s="718"/>
      <c r="C56" s="718"/>
      <c r="D56" s="718"/>
      <c r="E56" s="718">
        <v>0</v>
      </c>
      <c r="F56" s="672"/>
      <c r="G56" s="723"/>
      <c r="H56" s="723"/>
      <c r="I56" s="569">
        <v>0</v>
      </c>
      <c r="J56" s="615"/>
    </row>
    <row r="57" spans="1:12" ht="24" x14ac:dyDescent="0.2">
      <c r="A57" s="715" t="s">
        <v>903</v>
      </c>
      <c r="B57" s="718"/>
      <c r="C57" s="718"/>
      <c r="D57" s="718"/>
      <c r="E57" s="721">
        <v>0</v>
      </c>
      <c r="F57" s="672"/>
      <c r="G57" s="723"/>
      <c r="H57" s="723"/>
      <c r="I57" s="569">
        <v>0</v>
      </c>
      <c r="J57" s="613"/>
    </row>
    <row r="58" spans="1:12" ht="12.75" x14ac:dyDescent="0.2">
      <c r="A58" s="573" t="s">
        <v>904</v>
      </c>
      <c r="B58" s="718"/>
      <c r="C58" s="718"/>
      <c r="D58" s="718"/>
      <c r="E58" s="718"/>
      <c r="F58" s="672"/>
      <c r="G58" s="723"/>
      <c r="H58" s="723"/>
      <c r="I58" s="672"/>
      <c r="J58" s="613"/>
    </row>
    <row r="59" spans="1:12" ht="12.75" x14ac:dyDescent="0.2">
      <c r="A59" s="573" t="s">
        <v>905</v>
      </c>
      <c r="B59" s="718"/>
      <c r="C59" s="718"/>
      <c r="D59" s="718"/>
      <c r="E59" s="718"/>
      <c r="F59" s="672"/>
      <c r="G59" s="723"/>
      <c r="H59" s="723"/>
      <c r="I59" s="672"/>
      <c r="J59" s="613"/>
    </row>
    <row r="60" spans="1:12" ht="12.75" x14ac:dyDescent="0.2">
      <c r="A60" s="573" t="s">
        <v>906</v>
      </c>
      <c r="B60" s="718"/>
      <c r="C60" s="718"/>
      <c r="D60" s="718"/>
      <c r="E60" s="718"/>
      <c r="F60" s="672"/>
      <c r="G60" s="723"/>
      <c r="H60" s="723"/>
      <c r="I60" s="672"/>
      <c r="J60" s="613"/>
    </row>
    <row r="61" spans="1:12" ht="36" x14ac:dyDescent="0.2">
      <c r="A61" s="729" t="s">
        <v>1097</v>
      </c>
      <c r="B61" s="722"/>
      <c r="C61" s="731"/>
      <c r="D61" s="718"/>
      <c r="E61" s="718">
        <f>C61*D61/2</f>
        <v>0</v>
      </c>
      <c r="F61" s="570">
        <v>7822</v>
      </c>
      <c r="G61" s="732"/>
      <c r="H61" s="723"/>
      <c r="I61" s="672"/>
      <c r="J61" s="615"/>
    </row>
    <row r="62" spans="1:12" ht="24" x14ac:dyDescent="0.2">
      <c r="A62" s="715" t="s">
        <v>944</v>
      </c>
      <c r="B62" s="718"/>
      <c r="C62" s="722"/>
      <c r="D62" s="718"/>
      <c r="E62" s="718"/>
      <c r="F62" s="672"/>
      <c r="G62" s="575">
        <v>0</v>
      </c>
      <c r="H62" s="723"/>
      <c r="I62" s="672"/>
      <c r="J62" s="615"/>
    </row>
    <row r="63" spans="1:12" ht="12.75" x14ac:dyDescent="0.2">
      <c r="A63" s="573" t="s">
        <v>945</v>
      </c>
      <c r="B63" s="718"/>
      <c r="C63" s="722"/>
      <c r="D63" s="718"/>
      <c r="E63" s="718"/>
      <c r="F63" s="672"/>
      <c r="G63" s="574">
        <v>1</v>
      </c>
      <c r="H63" s="723"/>
      <c r="I63" s="672"/>
      <c r="J63" s="613"/>
    </row>
    <row r="64" spans="1:12" ht="12.75" x14ac:dyDescent="0.2">
      <c r="A64" s="573" t="s">
        <v>910</v>
      </c>
      <c r="B64" s="718"/>
      <c r="C64" s="733">
        <v>0.97299999999999998</v>
      </c>
      <c r="D64" s="718">
        <v>3000000</v>
      </c>
      <c r="E64" s="718"/>
      <c r="F64" s="672"/>
      <c r="G64" s="574">
        <v>2</v>
      </c>
      <c r="H64" s="570">
        <v>3000000</v>
      </c>
      <c r="I64" s="569">
        <f>(2*1+0)*3000000</f>
        <v>6000000</v>
      </c>
      <c r="J64" s="613"/>
    </row>
    <row r="65" spans="1:12" ht="12.75" x14ac:dyDescent="0.2">
      <c r="A65" s="573" t="s">
        <v>911</v>
      </c>
      <c r="B65" s="734"/>
      <c r="C65" s="718">
        <v>80</v>
      </c>
      <c r="D65" s="718">
        <v>55360</v>
      </c>
      <c r="E65" s="718">
        <f>C65*D65</f>
        <v>4428800</v>
      </c>
      <c r="F65" s="784"/>
      <c r="G65" s="570">
        <v>80</v>
      </c>
      <c r="H65" s="570">
        <v>55360</v>
      </c>
      <c r="I65" s="570">
        <f>G65*H65</f>
        <v>4428800</v>
      </c>
      <c r="J65" s="613"/>
    </row>
    <row r="66" spans="1:12" ht="12.75" x14ac:dyDescent="0.2">
      <c r="A66" s="573" t="s">
        <v>912</v>
      </c>
      <c r="B66" s="734"/>
      <c r="C66" s="718">
        <v>55</v>
      </c>
      <c r="D66" s="718">
        <v>145000</v>
      </c>
      <c r="E66" s="718">
        <f>C66*D66</f>
        <v>7975000</v>
      </c>
      <c r="F66" s="672"/>
      <c r="G66" s="718"/>
      <c r="H66" s="718"/>
      <c r="I66" s="718"/>
      <c r="J66" s="613"/>
    </row>
    <row r="67" spans="1:12" ht="12.75" x14ac:dyDescent="0.2">
      <c r="A67" s="573" t="s">
        <v>946</v>
      </c>
      <c r="B67" s="734"/>
      <c r="C67" s="718"/>
      <c r="D67" s="718"/>
      <c r="E67" s="718"/>
      <c r="F67" s="784"/>
      <c r="G67" s="1010">
        <v>5</v>
      </c>
      <c r="H67" s="570">
        <v>25000</v>
      </c>
      <c r="I67" s="1010">
        <f>G67*H67</f>
        <v>125000</v>
      </c>
      <c r="J67" s="613"/>
    </row>
    <row r="68" spans="1:12" ht="12.75" x14ac:dyDescent="0.2">
      <c r="A68" s="573" t="s">
        <v>947</v>
      </c>
      <c r="B68" s="734"/>
      <c r="C68" s="718"/>
      <c r="D68" s="718"/>
      <c r="E68" s="718"/>
      <c r="F68" s="784"/>
      <c r="G68" s="1010">
        <v>49</v>
      </c>
      <c r="H68" s="570">
        <v>210000</v>
      </c>
      <c r="I68" s="1010">
        <f>G68*H68</f>
        <v>10290000</v>
      </c>
      <c r="J68" s="613"/>
    </row>
    <row r="69" spans="1:12" ht="12.75" x14ac:dyDescent="0.2">
      <c r="A69" s="715" t="s">
        <v>948</v>
      </c>
      <c r="B69" s="789"/>
      <c r="C69" s="570">
        <v>23</v>
      </c>
      <c r="D69" s="570">
        <v>109000</v>
      </c>
      <c r="E69" s="570">
        <f>C69*D69</f>
        <v>2507000</v>
      </c>
      <c r="F69" s="569"/>
      <c r="G69" s="1010">
        <v>25</v>
      </c>
      <c r="H69" s="570">
        <v>109000</v>
      </c>
      <c r="I69" s="1010">
        <f>G69*H69</f>
        <v>2725000</v>
      </c>
      <c r="J69" s="613"/>
    </row>
    <row r="70" spans="1:12" ht="12.75" x14ac:dyDescent="0.2">
      <c r="A70" s="715" t="s">
        <v>914</v>
      </c>
      <c r="B70" s="789"/>
      <c r="C70" s="570"/>
      <c r="D70" s="570"/>
      <c r="E70" s="570"/>
      <c r="F70" s="569"/>
      <c r="G70" s="568"/>
      <c r="H70" s="568"/>
      <c r="I70" s="569"/>
      <c r="J70" s="613"/>
    </row>
    <row r="71" spans="1:12" ht="24" x14ac:dyDescent="0.2">
      <c r="A71" s="715" t="s">
        <v>1098</v>
      </c>
      <c r="B71" s="734"/>
      <c r="C71" s="718"/>
      <c r="D71" s="718"/>
      <c r="E71" s="718"/>
      <c r="F71" s="672"/>
      <c r="G71" s="723"/>
      <c r="H71" s="723"/>
      <c r="I71" s="672"/>
      <c r="J71" s="613"/>
    </row>
    <row r="72" spans="1:12" ht="24" x14ac:dyDescent="0.2">
      <c r="A72" s="729" t="s">
        <v>963</v>
      </c>
      <c r="B72" s="734"/>
      <c r="C72" s="718">
        <v>15</v>
      </c>
      <c r="D72" s="718">
        <v>2606040</v>
      </c>
      <c r="E72" s="718">
        <f>C72*D72</f>
        <v>39090600</v>
      </c>
      <c r="F72" s="784"/>
      <c r="G72" s="570">
        <v>15</v>
      </c>
      <c r="H72" s="570">
        <v>2606040</v>
      </c>
      <c r="I72" s="570">
        <f>G72*H72</f>
        <v>39090600</v>
      </c>
      <c r="J72" s="613"/>
    </row>
    <row r="73" spans="1:12" ht="36" x14ac:dyDescent="0.2">
      <c r="A73" s="573" t="s">
        <v>919</v>
      </c>
      <c r="B73" s="734"/>
      <c r="C73" s="718"/>
      <c r="D73" s="718"/>
      <c r="E73" s="721">
        <v>37834000</v>
      </c>
      <c r="F73" s="784" t="s">
        <v>1099</v>
      </c>
      <c r="G73" s="723"/>
      <c r="H73" s="723"/>
      <c r="I73" s="672">
        <v>30040000</v>
      </c>
      <c r="J73" s="617"/>
    </row>
    <row r="74" spans="1:12" ht="12.75" x14ac:dyDescent="0.2">
      <c r="A74" s="573" t="s">
        <v>1100</v>
      </c>
      <c r="B74" s="734"/>
      <c r="C74" s="718"/>
      <c r="D74" s="718"/>
      <c r="E74" s="718"/>
      <c r="F74" s="672"/>
      <c r="G74" s="723"/>
      <c r="H74" s="723"/>
      <c r="I74" s="672"/>
      <c r="J74" s="613"/>
    </row>
    <row r="75" spans="1:12" ht="12.75" x14ac:dyDescent="0.2">
      <c r="A75" s="573" t="s">
        <v>1101</v>
      </c>
      <c r="B75" s="718"/>
      <c r="C75" s="727">
        <v>12.33</v>
      </c>
      <c r="D75" s="718">
        <v>1632000</v>
      </c>
      <c r="E75" s="718">
        <f>C75*D75</f>
        <v>20122560</v>
      </c>
      <c r="F75" s="1011" t="s">
        <v>1140</v>
      </c>
      <c r="G75" s="571">
        <v>14.4</v>
      </c>
      <c r="H75" s="1000">
        <v>1900000</v>
      </c>
      <c r="I75" s="570">
        <f>G75*H75</f>
        <v>27360000</v>
      </c>
      <c r="J75" s="618"/>
    </row>
    <row r="76" spans="1:12" ht="36" x14ac:dyDescent="0.2">
      <c r="A76" s="573" t="s">
        <v>1102</v>
      </c>
      <c r="B76" s="718"/>
      <c r="C76" s="718"/>
      <c r="D76" s="718"/>
      <c r="E76" s="721">
        <v>7038795</v>
      </c>
      <c r="F76" s="784" t="s">
        <v>1099</v>
      </c>
      <c r="G76" s="723"/>
      <c r="H76" s="723"/>
      <c r="I76" s="672">
        <v>13278900</v>
      </c>
      <c r="J76" s="619"/>
    </row>
    <row r="77" spans="1:12" ht="24" x14ac:dyDescent="0.2">
      <c r="A77" s="715" t="s">
        <v>1103</v>
      </c>
      <c r="B77" s="718"/>
      <c r="C77" s="718"/>
      <c r="D77" s="718"/>
      <c r="E77" s="721"/>
      <c r="F77" s="784"/>
      <c r="G77" s="1004">
        <v>0</v>
      </c>
      <c r="H77" s="569">
        <v>285</v>
      </c>
      <c r="I77" s="1004">
        <f>G77*H77</f>
        <v>0</v>
      </c>
      <c r="J77" s="613"/>
    </row>
    <row r="78" spans="1:12" ht="12.75" x14ac:dyDescent="0.2">
      <c r="A78" s="715" t="s">
        <v>1104</v>
      </c>
      <c r="B78" s="718"/>
      <c r="C78" s="718"/>
      <c r="D78" s="718"/>
      <c r="E78" s="737"/>
      <c r="F78" s="784"/>
      <c r="G78" s="787"/>
      <c r="H78" s="569"/>
      <c r="I78" s="569"/>
      <c r="J78" s="613"/>
      <c r="K78" s="724">
        <f>SUM(I56:I82)</f>
        <v>147563700</v>
      </c>
      <c r="L78" s="6" t="s">
        <v>964</v>
      </c>
    </row>
    <row r="79" spans="1:12" ht="12.75" x14ac:dyDescent="0.2">
      <c r="A79" s="715" t="s">
        <v>1105</v>
      </c>
      <c r="B79" s="718"/>
      <c r="C79" s="718"/>
      <c r="D79" s="718"/>
      <c r="E79" s="737"/>
      <c r="F79" s="784"/>
      <c r="G79" s="787"/>
      <c r="H79" s="569"/>
      <c r="I79" s="569"/>
      <c r="J79" s="613"/>
      <c r="K79" s="724"/>
    </row>
    <row r="80" spans="1:12" ht="36" x14ac:dyDescent="0.2">
      <c r="A80" s="715" t="s">
        <v>1106</v>
      </c>
      <c r="B80" s="718"/>
      <c r="C80" s="718"/>
      <c r="D80" s="718"/>
      <c r="E80" s="737"/>
      <c r="F80" s="830" t="s">
        <v>1107</v>
      </c>
      <c r="G80" s="787">
        <v>1.8</v>
      </c>
      <c r="H80" s="569">
        <v>2993000</v>
      </c>
      <c r="I80" s="569">
        <f>G80*H80</f>
        <v>5387400</v>
      </c>
      <c r="J80" s="613"/>
      <c r="K80" s="724"/>
    </row>
    <row r="81" spans="1:14" ht="36" x14ac:dyDescent="0.2">
      <c r="A81" s="715" t="s">
        <v>1108</v>
      </c>
      <c r="B81" s="718"/>
      <c r="C81" s="718"/>
      <c r="D81" s="718"/>
      <c r="E81" s="737"/>
      <c r="F81" s="830" t="s">
        <v>1109</v>
      </c>
      <c r="G81" s="787">
        <v>2</v>
      </c>
      <c r="H81" s="569">
        <v>4419000</v>
      </c>
      <c r="I81" s="569">
        <f>G81*H81</f>
        <v>8838000</v>
      </c>
      <c r="J81" s="613"/>
      <c r="K81" s="724"/>
    </row>
    <row r="82" spans="1:14" ht="24" x14ac:dyDescent="0.2">
      <c r="A82" s="715" t="s">
        <v>1110</v>
      </c>
      <c r="B82" s="718"/>
      <c r="C82" s="718"/>
      <c r="D82" s="718"/>
      <c r="E82" s="737"/>
      <c r="F82" s="784"/>
      <c r="G82" s="787"/>
      <c r="H82" s="569">
        <v>0</v>
      </c>
      <c r="I82" s="569">
        <v>0</v>
      </c>
      <c r="J82" s="613"/>
      <c r="K82" s="724"/>
    </row>
    <row r="83" spans="1:14" ht="12.75" x14ac:dyDescent="0.2">
      <c r="A83" s="715"/>
      <c r="B83" s="718"/>
      <c r="C83" s="718"/>
      <c r="D83" s="718"/>
      <c r="E83" s="737"/>
      <c r="F83" s="784"/>
      <c r="G83" s="787"/>
      <c r="H83" s="569"/>
      <c r="I83" s="569"/>
      <c r="J83" s="613"/>
      <c r="K83" s="724"/>
    </row>
    <row r="84" spans="1:14" ht="12.75" x14ac:dyDescent="0.2">
      <c r="A84" s="573" t="s">
        <v>925</v>
      </c>
      <c r="B84" s="718"/>
      <c r="C84" s="718"/>
      <c r="D84" s="718"/>
      <c r="E84" s="737"/>
      <c r="F84" s="672"/>
      <c r="G84" s="723"/>
      <c r="H84" s="723"/>
      <c r="I84" s="672"/>
      <c r="J84" s="613"/>
    </row>
    <row r="85" spans="1:14" ht="12.75" x14ac:dyDescent="0.2">
      <c r="A85" s="573" t="s">
        <v>926</v>
      </c>
      <c r="B85" s="718"/>
      <c r="C85" s="718"/>
      <c r="D85" s="718"/>
      <c r="E85" s="737"/>
      <c r="F85" s="672"/>
      <c r="G85" s="723"/>
      <c r="H85" s="723"/>
      <c r="I85" s="672"/>
      <c r="J85" s="613"/>
    </row>
    <row r="86" spans="1:14" ht="12.75" x14ac:dyDescent="0.2">
      <c r="A86" s="573" t="s">
        <v>927</v>
      </c>
      <c r="B86" s="718"/>
      <c r="C86" s="718">
        <v>4865</v>
      </c>
      <c r="D86" s="718">
        <v>1140</v>
      </c>
      <c r="E86" s="738"/>
      <c r="F86" s="672"/>
      <c r="G86" s="570">
        <v>4705</v>
      </c>
      <c r="H86" s="1000">
        <v>1210</v>
      </c>
      <c r="I86" s="293">
        <f>G86*H86</f>
        <v>5693050</v>
      </c>
      <c r="J86" s="613"/>
    </row>
    <row r="87" spans="1:14" ht="48" x14ac:dyDescent="0.2">
      <c r="A87" s="715" t="s">
        <v>928</v>
      </c>
      <c r="B87" s="718"/>
      <c r="C87" s="718"/>
      <c r="D87" s="718"/>
      <c r="E87" s="738"/>
      <c r="F87" s="830" t="s">
        <v>1111</v>
      </c>
      <c r="G87" s="718"/>
      <c r="H87" s="718"/>
      <c r="I87" s="293">
        <v>0</v>
      </c>
      <c r="J87" s="613"/>
    </row>
    <row r="88" spans="1:14" ht="48" x14ac:dyDescent="0.2">
      <c r="A88" s="715" t="s">
        <v>1112</v>
      </c>
      <c r="B88" s="718"/>
      <c r="C88" s="718"/>
      <c r="D88" s="718"/>
      <c r="E88" s="738"/>
      <c r="F88" s="830" t="s">
        <v>1113</v>
      </c>
      <c r="G88" s="718"/>
      <c r="H88" s="718"/>
      <c r="I88" s="293">
        <v>0</v>
      </c>
      <c r="J88" s="613"/>
    </row>
    <row r="89" spans="1:14" ht="12.75" x14ac:dyDescent="0.2">
      <c r="A89" s="729" t="s">
        <v>1114</v>
      </c>
      <c r="B89" s="734"/>
      <c r="C89" s="718"/>
      <c r="D89" s="732"/>
      <c r="E89" s="718"/>
      <c r="F89" s="672"/>
      <c r="G89" s="723"/>
      <c r="H89" s="723"/>
      <c r="I89" s="672"/>
      <c r="J89" s="613"/>
      <c r="K89" s="724">
        <f>SUM(I86+I87)</f>
        <v>5693050</v>
      </c>
      <c r="L89" s="6" t="s">
        <v>965</v>
      </c>
    </row>
    <row r="90" spans="1:14" ht="24" x14ac:dyDescent="0.2">
      <c r="A90" s="739" t="s">
        <v>1115</v>
      </c>
      <c r="B90" s="790"/>
      <c r="C90" s="791"/>
      <c r="D90" s="570"/>
      <c r="E90" s="570"/>
      <c r="F90" s="792"/>
      <c r="G90" s="568"/>
      <c r="H90" s="568"/>
      <c r="I90" s="672"/>
      <c r="J90" s="613"/>
      <c r="K90" s="724"/>
      <c r="L90" s="724">
        <f>I15+I18+I21+I24+I27+I30+I33</f>
        <v>-123432901</v>
      </c>
      <c r="M90" s="793" t="s">
        <v>966</v>
      </c>
      <c r="N90" s="292"/>
    </row>
    <row r="91" spans="1:14" ht="12.75" x14ac:dyDescent="0.2">
      <c r="A91" s="764" t="s">
        <v>1116</v>
      </c>
      <c r="B91" s="794"/>
      <c r="C91" s="795"/>
      <c r="D91" s="796"/>
      <c r="E91" s="796"/>
      <c r="F91" s="797"/>
      <c r="G91" s="798"/>
      <c r="H91" s="798"/>
      <c r="I91" s="799">
        <v>0</v>
      </c>
      <c r="J91" s="613"/>
      <c r="K91" s="724"/>
      <c r="L91" s="724"/>
      <c r="M91" s="793"/>
      <c r="N91" s="292"/>
    </row>
    <row r="92" spans="1:14" ht="12.75" x14ac:dyDescent="0.2">
      <c r="A92" s="764"/>
      <c r="B92" s="794"/>
      <c r="C92" s="795"/>
      <c r="D92" s="796"/>
      <c r="E92" s="796"/>
      <c r="F92" s="794"/>
      <c r="G92" s="798"/>
      <c r="H92" s="798"/>
      <c r="I92" s="745"/>
      <c r="J92" s="613"/>
      <c r="K92" s="724"/>
      <c r="L92" s="724"/>
      <c r="N92" s="292"/>
    </row>
    <row r="93" spans="1:14" ht="12.75" x14ac:dyDescent="0.2">
      <c r="A93" s="764" t="s">
        <v>949</v>
      </c>
      <c r="B93" s="794"/>
      <c r="C93" s="795"/>
      <c r="D93" s="796"/>
      <c r="E93" s="796"/>
      <c r="F93" s="794"/>
      <c r="G93" s="798"/>
      <c r="H93" s="798"/>
      <c r="I93" s="745"/>
      <c r="J93" s="613"/>
      <c r="K93" s="724"/>
      <c r="L93" s="724"/>
      <c r="N93" s="292"/>
    </row>
    <row r="94" spans="1:14" ht="12.75" x14ac:dyDescent="0.2">
      <c r="A94" s="764" t="s">
        <v>950</v>
      </c>
      <c r="B94" s="794"/>
      <c r="C94" s="795"/>
      <c r="D94" s="796"/>
      <c r="E94" s="796"/>
      <c r="F94" s="794"/>
      <c r="G94" s="798"/>
      <c r="H94" s="798"/>
      <c r="I94" s="799">
        <v>0</v>
      </c>
      <c r="J94" s="613"/>
      <c r="K94" s="724"/>
      <c r="L94" s="724"/>
      <c r="N94" s="292"/>
    </row>
    <row r="95" spans="1:14" ht="12.75" x14ac:dyDescent="0.2">
      <c r="A95" s="765" t="s">
        <v>951</v>
      </c>
      <c r="B95" s="794"/>
      <c r="C95" s="795"/>
      <c r="D95" s="796"/>
      <c r="E95" s="796"/>
      <c r="F95" s="794"/>
      <c r="G95" s="798"/>
      <c r="H95" s="798"/>
      <c r="I95" s="799">
        <v>0</v>
      </c>
      <c r="J95" s="613"/>
      <c r="K95" s="724">
        <f>I94+I95</f>
        <v>0</v>
      </c>
      <c r="L95" s="724" t="s">
        <v>967</v>
      </c>
      <c r="N95" s="292"/>
    </row>
    <row r="96" spans="1:14" ht="13.5" thickBot="1" x14ac:dyDescent="0.25">
      <c r="A96" s="741"/>
      <c r="B96" s="742"/>
      <c r="C96" s="743"/>
      <c r="D96" s="744"/>
      <c r="E96" s="743"/>
      <c r="F96" s="745"/>
      <c r="G96" s="746"/>
      <c r="H96" s="746"/>
      <c r="I96" s="745"/>
      <c r="J96" s="613"/>
    </row>
    <row r="97" spans="1:256" ht="12.75" thickBot="1" x14ac:dyDescent="0.25">
      <c r="A97" s="747" t="s">
        <v>930</v>
      </c>
      <c r="B97" s="748"/>
      <c r="C97" s="748"/>
      <c r="D97" s="749"/>
      <c r="E97" s="750" t="e">
        <f>E12+E14+E17+E20+E23+E28+E31+E34+E40+E41+#REF!+E42+E44+E47+E49+E52+E56+E57+E61+E62+E65+E66+E69+#REF!+E72+E73+E75+E76</f>
        <v>#REF!</v>
      </c>
      <c r="F97" s="1189">
        <f>I12+I16+I19+I22+I25+I28+I31+I34+I35+I36+I40+I41+I42+I43+I44+I45+I47+I48+I49+I50+I52+I53+I56+I57+I64+I65+I67+I68+I69+I72+I73+I75+I76+I77+I80+I81+I82+I86+I87+I88+I94+I95+I91</f>
        <v>789557318</v>
      </c>
      <c r="G97" s="1189"/>
      <c r="H97" s="1189"/>
      <c r="I97" s="1190"/>
      <c r="J97" s="7"/>
      <c r="K97" s="751">
        <f>K78+K53+K35+K89</f>
        <v>789557318</v>
      </c>
      <c r="L97" s="800" t="s">
        <v>968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801"/>
      <c r="B99" s="802"/>
      <c r="C99" s="802"/>
      <c r="D99" s="802"/>
      <c r="E99" s="803"/>
      <c r="F99" s="804"/>
      <c r="G99" s="804"/>
      <c r="H99" s="804"/>
      <c r="I99" s="804"/>
    </row>
    <row r="100" spans="1:256" ht="12.75" x14ac:dyDescent="0.2">
      <c r="A100" s="1001" t="s">
        <v>1117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40"/>
  <sheetViews>
    <sheetView workbookViewId="0">
      <pane ySplit="7" topLeftCell="A12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38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183" t="s">
        <v>1233</v>
      </c>
      <c r="D1" s="1183"/>
      <c r="E1" s="1183"/>
      <c r="F1" s="1183"/>
      <c r="G1" s="1183"/>
      <c r="H1" s="1183"/>
      <c r="I1" s="1183"/>
    </row>
    <row r="2" spans="2:10" ht="14.45" customHeight="1" x14ac:dyDescent="0.2">
      <c r="C2" s="1183"/>
      <c r="D2" s="1183"/>
      <c r="E2" s="1183"/>
      <c r="F2" s="1183"/>
      <c r="G2" s="1183"/>
      <c r="H2" s="1183"/>
      <c r="I2" s="1183"/>
    </row>
    <row r="3" spans="2:10" ht="14.45" customHeight="1" x14ac:dyDescent="0.2">
      <c r="B3" s="1186" t="s">
        <v>54</v>
      </c>
      <c r="C3" s="1179"/>
      <c r="D3" s="1179"/>
      <c r="E3" s="1179"/>
      <c r="F3" s="1179"/>
      <c r="G3" s="1179"/>
      <c r="H3" s="1179"/>
      <c r="I3" s="1179"/>
    </row>
    <row r="4" spans="2:10" s="11" customFormat="1" ht="14.45" customHeight="1" x14ac:dyDescent="0.2">
      <c r="B4" s="1191" t="s">
        <v>1128</v>
      </c>
      <c r="C4" s="1179"/>
      <c r="D4" s="1179"/>
      <c r="E4" s="1179"/>
      <c r="F4" s="1179"/>
      <c r="G4" s="1179"/>
      <c r="H4" s="1179"/>
      <c r="I4" s="1179"/>
    </row>
    <row r="5" spans="2:10" s="11" customFormat="1" ht="14.45" customHeight="1" x14ac:dyDescent="0.15">
      <c r="B5" s="183"/>
    </row>
    <row r="6" spans="2:10" ht="14.45" customHeight="1" x14ac:dyDescent="0.2">
      <c r="B6" s="1195" t="s">
        <v>459</v>
      </c>
      <c r="C6" s="1179"/>
      <c r="D6" s="1179"/>
      <c r="E6" s="1179"/>
      <c r="F6" s="1179"/>
      <c r="G6" s="1179"/>
      <c r="H6" s="1179"/>
      <c r="I6" s="1179"/>
    </row>
    <row r="7" spans="2:10" s="12" customFormat="1" ht="36.75" customHeight="1" x14ac:dyDescent="0.2">
      <c r="B7" s="1192" t="s">
        <v>56</v>
      </c>
      <c r="C7" s="1193" t="s">
        <v>86</v>
      </c>
      <c r="D7" s="1194" t="s">
        <v>1199</v>
      </c>
      <c r="E7" s="1194"/>
      <c r="F7" s="1194"/>
      <c r="G7" s="174"/>
    </row>
    <row r="8" spans="2:10" s="12" customFormat="1" ht="40.9" customHeight="1" x14ac:dyDescent="0.2">
      <c r="B8" s="1192"/>
      <c r="C8" s="1193"/>
      <c r="D8" s="154" t="s">
        <v>62</v>
      </c>
      <c r="E8" s="154" t="s">
        <v>63</v>
      </c>
      <c r="F8" s="154" t="s">
        <v>64</v>
      </c>
      <c r="G8" s="174"/>
      <c r="J8" s="561"/>
    </row>
    <row r="9" spans="2:10" s="12" customFormat="1" ht="14.45" customHeight="1" x14ac:dyDescent="0.2">
      <c r="B9" s="339" t="s">
        <v>508</v>
      </c>
      <c r="C9" s="206" t="s">
        <v>103</v>
      </c>
      <c r="D9" s="207"/>
      <c r="E9" s="207"/>
      <c r="F9" s="467"/>
      <c r="G9" s="174"/>
      <c r="J9" s="561"/>
    </row>
    <row r="10" spans="2:10" s="12" customFormat="1" ht="10.5" customHeight="1" x14ac:dyDescent="0.2">
      <c r="B10" s="339" t="s">
        <v>516</v>
      </c>
      <c r="C10" s="206"/>
      <c r="D10" s="207"/>
      <c r="E10" s="207"/>
      <c r="F10" s="456"/>
      <c r="G10" s="174"/>
      <c r="J10" s="561"/>
    </row>
    <row r="11" spans="2:10" s="12" customFormat="1" ht="14.45" customHeight="1" x14ac:dyDescent="0.2">
      <c r="B11" s="339" t="s">
        <v>517</v>
      </c>
      <c r="C11" s="208" t="s">
        <v>87</v>
      </c>
      <c r="D11" s="207"/>
      <c r="E11" s="207"/>
      <c r="F11" s="456"/>
      <c r="G11" s="174"/>
      <c r="J11" s="561"/>
    </row>
    <row r="12" spans="2:10" s="12" customFormat="1" ht="14.45" customHeight="1" x14ac:dyDescent="0.2">
      <c r="B12" s="339" t="s">
        <v>518</v>
      </c>
      <c r="C12" s="209" t="s">
        <v>104</v>
      </c>
      <c r="D12" s="207"/>
      <c r="E12" s="207"/>
      <c r="F12" s="456"/>
      <c r="G12" s="174"/>
      <c r="J12" s="561"/>
    </row>
    <row r="13" spans="2:10" s="12" customFormat="1" ht="14.45" customHeight="1" x14ac:dyDescent="0.2">
      <c r="B13" s="339" t="s">
        <v>519</v>
      </c>
      <c r="C13" s="210" t="s">
        <v>105</v>
      </c>
      <c r="D13" s="158">
        <v>0</v>
      </c>
      <c r="E13" s="158">
        <v>0</v>
      </c>
      <c r="F13" s="457">
        <f>SUM(D13:E13)</f>
        <v>0</v>
      </c>
      <c r="G13" s="174"/>
      <c r="J13" s="561"/>
    </row>
    <row r="14" spans="2:10" s="12" customFormat="1" ht="14.45" customHeight="1" x14ac:dyDescent="0.2">
      <c r="B14" s="339" t="s">
        <v>520</v>
      </c>
      <c r="C14" s="210" t="s">
        <v>301</v>
      </c>
      <c r="D14" s="158"/>
      <c r="E14" s="158"/>
      <c r="F14" s="457">
        <f>SUM(D14:E14)</f>
        <v>0</v>
      </c>
      <c r="G14" s="174"/>
      <c r="J14" s="561"/>
    </row>
    <row r="15" spans="2:10" s="12" customFormat="1" ht="14.45" customHeight="1" x14ac:dyDescent="0.2">
      <c r="B15" s="339" t="s">
        <v>521</v>
      </c>
      <c r="C15" s="14" t="s">
        <v>106</v>
      </c>
      <c r="D15" s="158"/>
      <c r="E15" s="158">
        <v>0</v>
      </c>
      <c r="F15" s="457">
        <f>SUM(D15:E15)</f>
        <v>0</v>
      </c>
      <c r="G15" s="174"/>
      <c r="J15" s="561"/>
    </row>
    <row r="16" spans="2:10" s="12" customFormat="1" ht="14.45" customHeight="1" x14ac:dyDescent="0.2">
      <c r="B16" s="339" t="s">
        <v>522</v>
      </c>
      <c r="C16" s="14" t="s">
        <v>107</v>
      </c>
      <c r="D16" s="158"/>
      <c r="E16" s="158"/>
      <c r="F16" s="457"/>
      <c r="G16" s="174"/>
      <c r="J16" s="561"/>
    </row>
    <row r="17" spans="2:10" s="12" customFormat="1" ht="14.45" customHeight="1" x14ac:dyDescent="0.2">
      <c r="B17" s="339" t="s">
        <v>523</v>
      </c>
      <c r="C17" s="211" t="s">
        <v>108</v>
      </c>
      <c r="D17" s="182">
        <f>SUM(D13:D16)</f>
        <v>0</v>
      </c>
      <c r="E17" s="182">
        <f>SUM(E13:E16)</f>
        <v>0</v>
      </c>
      <c r="F17" s="460">
        <f>SUM(F13:F16)</f>
        <v>0</v>
      </c>
      <c r="G17" s="174"/>
      <c r="J17" s="561"/>
    </row>
    <row r="18" spans="2:10" s="12" customFormat="1" ht="14.45" customHeight="1" x14ac:dyDescent="0.2">
      <c r="B18" s="339" t="s">
        <v>565</v>
      </c>
      <c r="C18" s="211"/>
      <c r="D18" s="182"/>
      <c r="E18" s="182"/>
      <c r="F18" s="460"/>
      <c r="G18" s="174"/>
      <c r="J18" s="561"/>
    </row>
    <row r="19" spans="2:10" s="12" customFormat="1" ht="14.45" customHeight="1" x14ac:dyDescent="0.2">
      <c r="B19" s="339" t="s">
        <v>566</v>
      </c>
      <c r="C19" s="560" t="s">
        <v>302</v>
      </c>
      <c r="D19" s="182"/>
      <c r="E19" s="182"/>
      <c r="F19" s="460"/>
      <c r="G19" s="174"/>
      <c r="J19" s="561"/>
    </row>
    <row r="20" spans="2:10" s="12" customFormat="1" ht="14.45" customHeight="1" x14ac:dyDescent="0.2">
      <c r="B20" s="339" t="s">
        <v>567</v>
      </c>
      <c r="C20" s="14"/>
      <c r="D20" s="182"/>
      <c r="E20" s="158"/>
      <c r="F20" s="457"/>
      <c r="G20" s="174"/>
      <c r="J20" s="561"/>
    </row>
    <row r="21" spans="2:10" s="12" customFormat="1" ht="14.45" customHeight="1" x14ac:dyDescent="0.2">
      <c r="B21" s="339" t="s">
        <v>568</v>
      </c>
      <c r="C21" s="211" t="s">
        <v>303</v>
      </c>
      <c r="D21" s="182">
        <f>D20</f>
        <v>0</v>
      </c>
      <c r="E21" s="182">
        <f>E20</f>
        <v>0</v>
      </c>
      <c r="F21" s="182">
        <f>F20</f>
        <v>0</v>
      </c>
      <c r="G21" s="174"/>
      <c r="J21" s="561"/>
    </row>
    <row r="22" spans="2:10" s="12" customFormat="1" ht="12" customHeight="1" x14ac:dyDescent="0.2">
      <c r="B22" s="339" t="s">
        <v>569</v>
      </c>
      <c r="C22" s="212"/>
      <c r="D22" s="207"/>
      <c r="E22" s="207"/>
      <c r="F22" s="456"/>
      <c r="G22" s="174"/>
      <c r="J22" s="561"/>
    </row>
    <row r="23" spans="2:10" s="11" customFormat="1" ht="14.45" customHeight="1" x14ac:dyDescent="0.2">
      <c r="B23" s="339" t="s">
        <v>570</v>
      </c>
      <c r="C23" s="565" t="s">
        <v>1023</v>
      </c>
      <c r="D23" s="182"/>
      <c r="E23" s="182"/>
      <c r="F23" s="460"/>
      <c r="G23" s="183"/>
      <c r="J23" s="531"/>
    </row>
    <row r="24" spans="2:10" ht="14.45" customHeight="1" x14ac:dyDescent="0.2">
      <c r="B24" s="339" t="s">
        <v>571</v>
      </c>
      <c r="C24" s="214"/>
      <c r="D24" s="158"/>
      <c r="E24" s="158"/>
      <c r="F24" s="457">
        <f>SUM(D24:E24)</f>
        <v>0</v>
      </c>
      <c r="G24" s="157"/>
      <c r="H24" s="10"/>
      <c r="I24" s="10"/>
      <c r="J24" s="193"/>
    </row>
    <row r="25" spans="2:10" ht="14.45" customHeight="1" x14ac:dyDescent="0.2">
      <c r="B25" s="339" t="s">
        <v>572</v>
      </c>
      <c r="C25" s="211" t="s">
        <v>109</v>
      </c>
      <c r="D25" s="182">
        <f>SUM(D24:D24)</f>
        <v>0</v>
      </c>
      <c r="E25" s="182">
        <f>SUM(E24:E24)</f>
        <v>0</v>
      </c>
      <c r="F25" s="460">
        <f>SUM(F24:F24)</f>
        <v>0</v>
      </c>
      <c r="G25" s="157"/>
      <c r="H25" s="10"/>
      <c r="I25" s="10"/>
      <c r="J25" s="193"/>
    </row>
    <row r="26" spans="2:10" ht="14.45" customHeight="1" x14ac:dyDescent="0.2">
      <c r="B26" s="339" t="s">
        <v>574</v>
      </c>
      <c r="C26" s="211"/>
      <c r="D26" s="182"/>
      <c r="E26" s="182"/>
      <c r="F26" s="460"/>
      <c r="G26" s="157"/>
      <c r="H26" s="10"/>
      <c r="I26" s="10"/>
      <c r="J26" s="193"/>
    </row>
    <row r="27" spans="2:10" ht="14.45" customHeight="1" x14ac:dyDescent="0.2">
      <c r="B27" s="339" t="s">
        <v>575</v>
      </c>
      <c r="C27" s="213" t="s">
        <v>179</v>
      </c>
      <c r="D27" s="182"/>
      <c r="E27" s="158"/>
      <c r="F27" s="457"/>
      <c r="G27" s="157"/>
      <c r="H27" s="10"/>
      <c r="I27" s="10"/>
      <c r="J27" s="193"/>
    </row>
    <row r="28" spans="2:10" ht="14.45" customHeight="1" x14ac:dyDescent="0.2">
      <c r="B28" s="339" t="s">
        <v>576</v>
      </c>
      <c r="D28" s="182"/>
      <c r="E28" s="158"/>
      <c r="F28" s="457"/>
      <c r="G28" s="157"/>
      <c r="H28" s="10"/>
      <c r="I28" s="10"/>
      <c r="J28" s="193"/>
    </row>
    <row r="29" spans="2:10" ht="14.45" customHeight="1" x14ac:dyDescent="0.2">
      <c r="B29" s="339" t="s">
        <v>577</v>
      </c>
      <c r="C29" s="211" t="s">
        <v>180</v>
      </c>
      <c r="D29" s="182"/>
      <c r="E29" s="182">
        <f>SUM(E28)</f>
        <v>0</v>
      </c>
      <c r="F29" s="460">
        <f>SUM(F28)</f>
        <v>0</v>
      </c>
      <c r="G29" s="157"/>
      <c r="H29" s="10"/>
      <c r="I29" s="10"/>
      <c r="J29" s="193"/>
    </row>
    <row r="30" spans="2:10" ht="14.45" customHeight="1" x14ac:dyDescent="0.2">
      <c r="B30" s="339" t="s">
        <v>578</v>
      </c>
      <c r="C30" s="211"/>
      <c r="D30" s="182"/>
      <c r="E30" s="182"/>
      <c r="F30" s="460"/>
      <c r="G30" s="157"/>
      <c r="H30" s="10"/>
      <c r="I30" s="10"/>
      <c r="J30" s="193"/>
    </row>
    <row r="31" spans="2:10" ht="14.45" customHeight="1" x14ac:dyDescent="0.2">
      <c r="B31" s="339" t="s">
        <v>579</v>
      </c>
      <c r="C31" s="211" t="s">
        <v>167</v>
      </c>
      <c r="D31" s="182">
        <f>D25+D29</f>
        <v>0</v>
      </c>
      <c r="E31" s="182">
        <f>E25+E29</f>
        <v>0</v>
      </c>
      <c r="F31" s="182">
        <f>F25+F29</f>
        <v>0</v>
      </c>
      <c r="G31" s="157"/>
      <c r="H31" s="10"/>
      <c r="I31" s="10"/>
      <c r="J31" s="193"/>
    </row>
    <row r="32" spans="2:10" ht="14.45" customHeight="1" x14ac:dyDescent="0.2">
      <c r="B32" s="339" t="s">
        <v>580</v>
      </c>
      <c r="C32" s="211"/>
      <c r="D32" s="182"/>
      <c r="E32" s="182"/>
      <c r="F32" s="182"/>
      <c r="G32" s="157"/>
      <c r="H32" s="10"/>
      <c r="I32" s="10"/>
      <c r="J32" s="193"/>
    </row>
    <row r="33" spans="2:10" s="12" customFormat="1" ht="14.45" customHeight="1" x14ac:dyDescent="0.2">
      <c r="B33" s="339" t="s">
        <v>581</v>
      </c>
      <c r="C33" s="213" t="s">
        <v>110</v>
      </c>
      <c r="D33" s="174"/>
      <c r="E33" s="174"/>
      <c r="F33" s="466"/>
      <c r="G33" s="174"/>
      <c r="J33" s="561"/>
    </row>
    <row r="34" spans="2:10" s="12" customFormat="1" ht="14.45" customHeight="1" x14ac:dyDescent="0.2">
      <c r="B34" s="339" t="s">
        <v>601</v>
      </c>
      <c r="C34" s="14" t="s">
        <v>111</v>
      </c>
      <c r="D34" s="174"/>
      <c r="E34" s="158">
        <v>2870</v>
      </c>
      <c r="F34" s="457">
        <f>SUM(E34)</f>
        <v>2870</v>
      </c>
      <c r="G34" s="174"/>
      <c r="J34" s="561"/>
    </row>
    <row r="35" spans="2:10" s="12" customFormat="1" ht="14.45" customHeight="1" x14ac:dyDescent="0.2">
      <c r="B35" s="339" t="s">
        <v>602</v>
      </c>
      <c r="C35" s="211" t="s">
        <v>112</v>
      </c>
      <c r="D35" s="182">
        <f>SUM(D34:D34)</f>
        <v>0</v>
      </c>
      <c r="E35" s="182">
        <f>SUM(E34:E34)</f>
        <v>2870</v>
      </c>
      <c r="F35" s="460">
        <f>SUM(F34:F34)</f>
        <v>2870</v>
      </c>
      <c r="G35" s="207"/>
      <c r="J35" s="561"/>
    </row>
    <row r="36" spans="2:10" s="12" customFormat="1" ht="15.75" customHeight="1" thickBot="1" x14ac:dyDescent="0.25">
      <c r="B36" s="339" t="s">
        <v>603</v>
      </c>
      <c r="C36" s="211"/>
      <c r="D36" s="174"/>
      <c r="E36" s="174"/>
      <c r="F36" s="466"/>
      <c r="G36" s="174"/>
      <c r="J36" s="561"/>
    </row>
    <row r="37" spans="2:10" s="12" customFormat="1" ht="14.45" customHeight="1" thickBot="1" x14ac:dyDescent="0.25">
      <c r="B37" s="339" t="s">
        <v>604</v>
      </c>
      <c r="C37" s="812" t="s">
        <v>113</v>
      </c>
      <c r="D37" s="173">
        <f>D35+D31+D17</f>
        <v>0</v>
      </c>
      <c r="E37" s="173">
        <f>E35+E31+E17+E21</f>
        <v>2870</v>
      </c>
      <c r="F37" s="173">
        <f>F35+F31+F17+F21</f>
        <v>2870</v>
      </c>
      <c r="G37" s="310">
        <f>G35+G31+G17+G21</f>
        <v>0</v>
      </c>
      <c r="H37" s="310">
        <f>H35+H31+H17+H21</f>
        <v>0</v>
      </c>
      <c r="I37" s="310">
        <f>I35+I31+I17+I21</f>
        <v>0</v>
      </c>
      <c r="J37" s="561"/>
    </row>
    <row r="38" spans="2:10" ht="14.45" customHeight="1" x14ac:dyDescent="0.2">
      <c r="B38" s="339" t="s">
        <v>605</v>
      </c>
      <c r="C38" s="812"/>
      <c r="D38" s="183"/>
      <c r="E38" s="183"/>
      <c r="F38" s="183"/>
      <c r="J38" s="193"/>
    </row>
    <row r="39" spans="2:10" ht="14.45" customHeight="1" thickBot="1" x14ac:dyDescent="0.25">
      <c r="B39" s="339" t="s">
        <v>606</v>
      </c>
      <c r="J39" s="193"/>
    </row>
    <row r="40" spans="2:10" ht="14.45" customHeight="1" thickBot="1" x14ac:dyDescent="0.25">
      <c r="B40" s="339" t="s">
        <v>607</v>
      </c>
      <c r="C40" s="468" t="s">
        <v>1079</v>
      </c>
      <c r="D40" s="310">
        <f>D37+D38</f>
        <v>0</v>
      </c>
      <c r="E40" s="310">
        <f>E37+E38</f>
        <v>2870</v>
      </c>
      <c r="F40" s="984">
        <f>F37+F38</f>
        <v>2870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2018-01-19T07:53:16Z</cp:lastPrinted>
  <dcterms:created xsi:type="dcterms:W3CDTF">2013-12-16T15:47:29Z</dcterms:created>
  <dcterms:modified xsi:type="dcterms:W3CDTF">2018-01-25T10:34:18Z</dcterms:modified>
</cp:coreProperties>
</file>