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18\8 2018. (VIII. 02. költésvetés módosító rendelet\"/>
    </mc:Choice>
  </mc:AlternateContent>
  <xr:revisionPtr revIDLastSave="0" documentId="10_ncr:8100000_{23856B95-4A3D-4E06-AF25-57DCA45B65DE}" xr6:coauthVersionLast="34" xr6:coauthVersionMax="34" xr10:uidLastSave="{00000000-0000-0000-0000-000000000000}"/>
  <bookViews>
    <workbookView xWindow="0" yWindow="0" windowWidth="28800" windowHeight="12210" firstSheet="7" activeTab="29" xr2:uid="{00000000-000D-0000-FFFF-FFFF00000000}"/>
  </bookViews>
  <sheets>
    <sheet name="Címrend" sheetId="33" r:id="rId1"/>
    <sheet name="1. sz. mell. módosított" sheetId="49" r:id="rId2"/>
    <sheet name="2. sz. mell. módosított" sheetId="50" r:id="rId3"/>
    <sheet name="3. sz. mell. módosított" sheetId="51" r:id="rId4"/>
    <sheet name="4. sz.mell" sheetId="34" r:id="rId5"/>
    <sheet name="5.sz.mell" sheetId="9" r:id="rId6"/>
    <sheet name="6.sz.mell" sheetId="32" state="hidden" r:id="rId7"/>
    <sheet name="6. melléklet" sheetId="48" r:id="rId8"/>
    <sheet name="7.sz.mell." sheetId="11" r:id="rId9"/>
    <sheet name="8.sz.mell. " sheetId="13" r:id="rId10"/>
    <sheet name="9.1.sz.mell" sheetId="15" state="hidden" r:id="rId11"/>
    <sheet name="9.2.sz.mell" sheetId="16" state="hidden" r:id="rId12"/>
    <sheet name="Önk. személyi" sheetId="39" state="hidden" r:id="rId13"/>
    <sheet name="Önk. dologi és felh." sheetId="40" state="hidden" r:id="rId14"/>
    <sheet name="9. sz. mell. módosított" sheetId="52" r:id="rId15"/>
    <sheet name="10.1.sz.mell" sheetId="21" state="hidden" r:id="rId16"/>
    <sheet name="10.2.sz.mell" sheetId="19" state="hidden" r:id="rId17"/>
    <sheet name="Hivatal személyi" sheetId="41" state="hidden" r:id="rId18"/>
    <sheet name="Hivatal Dologi és felh." sheetId="42" state="hidden" r:id="rId19"/>
    <sheet name="10. sz. mell módosított" sheetId="53" r:id="rId20"/>
    <sheet name="11.1.sz.mell" sheetId="22" state="hidden" r:id="rId21"/>
    <sheet name="11.2.sz.mell" sheetId="20" state="hidden" r:id="rId22"/>
    <sheet name="MKP személyi" sheetId="43" state="hidden" r:id="rId23"/>
    <sheet name="MKP dologi és felh." sheetId="44" state="hidden" r:id="rId24"/>
    <sheet name="11. sz. mell. módosított" sheetId="54" r:id="rId25"/>
    <sheet name="12.1.sz.mell" sheetId="37" state="hidden" r:id="rId26"/>
    <sheet name="12.2.sz.mell" sheetId="38" state="hidden" r:id="rId27"/>
    <sheet name="Óvoda személyi" sheetId="45" state="hidden" r:id="rId28"/>
    <sheet name="Óvoda dologi és felh." sheetId="46" state="hidden" r:id="rId29"/>
    <sheet name="12. sz. mell módosított" sheetId="55" r:id="rId30"/>
    <sheet name="13.sz.mell" sheetId="23" r:id="rId31"/>
    <sheet name="14.sz.mell" sheetId="26" r:id="rId32"/>
    <sheet name="15.sz.mell" sheetId="29" r:id="rId33"/>
    <sheet name="16.sz.mell" sheetId="25" r:id="rId34"/>
    <sheet name="17.sz.mell" sheetId="28" r:id="rId35"/>
    <sheet name="18.sz.mell" sheetId="24" r:id="rId36"/>
    <sheet name="19.sz.mell" sheetId="30" r:id="rId37"/>
    <sheet name="20. sz.mell" sheetId="31" r:id="rId38"/>
    <sheet name="21. sz. melléklet" sheetId="47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Excel_BuiltIn_Print_Area_1_1" localSheetId="15">#REF!</definedName>
    <definedName name="_1Excel_BuiltIn_Print_Area_1_1" localSheetId="16">#REF!</definedName>
    <definedName name="_1Excel_BuiltIn_Print_Area_1_1" localSheetId="20">#REF!</definedName>
    <definedName name="_1Excel_BuiltIn_Print_Area_1_1" localSheetId="21">#REF!</definedName>
    <definedName name="_1Excel_BuiltIn_Print_Area_1_1" localSheetId="4">#REF!</definedName>
    <definedName name="_1Excel_BuiltIn_Print_Area_1_1">#REF!</definedName>
    <definedName name="a">[1]Háttéradatok!$C$29:$AG$32</definedName>
    <definedName name="Állami" localSheetId="15">#REF!,#REF!</definedName>
    <definedName name="Állami" localSheetId="16">#REF!,#REF!</definedName>
    <definedName name="Állami" localSheetId="20">#REF!,#REF!</definedName>
    <definedName name="Állami" localSheetId="21">#REF!,#REF!</definedName>
    <definedName name="Állami" localSheetId="4">#REF!,#REF!</definedName>
    <definedName name="Állami">#REF!,#REF!</definedName>
    <definedName name="anyád" localSheetId="15">#REF!</definedName>
    <definedName name="anyád" localSheetId="16">#REF!</definedName>
    <definedName name="anyád" localSheetId="20">#REF!</definedName>
    <definedName name="anyád" localSheetId="21">#REF!</definedName>
    <definedName name="anyád" localSheetId="4">#REF!</definedName>
    <definedName name="anyád">#REF!</definedName>
    <definedName name="apád" localSheetId="15">#REF!</definedName>
    <definedName name="apád" localSheetId="16">#REF!</definedName>
    <definedName name="apád" localSheetId="20">#REF!</definedName>
    <definedName name="apád" localSheetId="21">#REF!</definedName>
    <definedName name="apád" localSheetId="4">#REF!</definedName>
    <definedName name="apád">#REF!</definedName>
    <definedName name="b" localSheetId="15">#REF!</definedName>
    <definedName name="b" localSheetId="16">#REF!</definedName>
    <definedName name="b" localSheetId="20">#REF!</definedName>
    <definedName name="b" localSheetId="21">#REF!</definedName>
    <definedName name="b" localSheetId="4">#REF!</definedName>
    <definedName name="b">#REF!</definedName>
    <definedName name="bbbbbb" localSheetId="15">#REF!</definedName>
    <definedName name="bbbbbb" localSheetId="16">#REF!</definedName>
    <definedName name="bbbbbb" localSheetId="20">#REF!</definedName>
    <definedName name="bbbbbb" localSheetId="21">#REF!</definedName>
    <definedName name="bbbbbb" localSheetId="4">#REF!</definedName>
    <definedName name="bbbbbb">#REF!</definedName>
    <definedName name="bbbbbbbbbbbbbbbbbb" localSheetId="15">#REF!</definedName>
    <definedName name="bbbbbbbbbbbbbbbbbb" localSheetId="16">#REF!</definedName>
    <definedName name="bbbbbbbbbbbbbbbbbb" localSheetId="20">#REF!</definedName>
    <definedName name="bbbbbbbbbbbbbbbbbb" localSheetId="21">#REF!</definedName>
    <definedName name="bbbbbbbbbbbbbbbbbb" localSheetId="4">#REF!</definedName>
    <definedName name="bbbbbbbbbbbbbbbbbb">#REF!</definedName>
    <definedName name="bhgtz" localSheetId="15">#REF!</definedName>
    <definedName name="bhgtz" localSheetId="16">#REF!</definedName>
    <definedName name="bhgtz" localSheetId="20">#REF!</definedName>
    <definedName name="bhgtz" localSheetId="21">#REF!</definedName>
    <definedName name="bhgtz" localSheetId="4">#REF!</definedName>
    <definedName name="bhgtz">#REF!</definedName>
    <definedName name="cccc" localSheetId="15">#REF!</definedName>
    <definedName name="cccc" localSheetId="16">#REF!</definedName>
    <definedName name="cccc" localSheetId="20">#REF!</definedName>
    <definedName name="cccc" localSheetId="21">#REF!</definedName>
    <definedName name="cccc" localSheetId="4">#REF!</definedName>
    <definedName name="cccc">#REF!</definedName>
    <definedName name="css" localSheetId="15">#REF!</definedName>
    <definedName name="css" localSheetId="16">#REF!</definedName>
    <definedName name="css" localSheetId="20">#REF!</definedName>
    <definedName name="css" localSheetId="21">#REF!</definedName>
    <definedName name="css" localSheetId="4">#REF!</definedName>
    <definedName name="css">#REF!</definedName>
    <definedName name="css_k">[2]Családsegítés!$C$27:$C$86</definedName>
    <definedName name="css_k_" localSheetId="15">#REF!</definedName>
    <definedName name="css_k_" localSheetId="16">#REF!</definedName>
    <definedName name="css_k_" localSheetId="20">#REF!</definedName>
    <definedName name="css_k_" localSheetId="21">#REF!</definedName>
    <definedName name="css_k_" localSheetId="4">#REF!</definedName>
    <definedName name="css_k_">#REF!</definedName>
    <definedName name="dddd" localSheetId="15">#REF!</definedName>
    <definedName name="dddd" localSheetId="16">#REF!</definedName>
    <definedName name="dddd" localSheetId="20">#REF!</definedName>
    <definedName name="dddd" localSheetId="21">#REF!</definedName>
    <definedName name="dddd" localSheetId="4">#REF!</definedName>
    <definedName name="dddd">#REF!</definedName>
    <definedName name="ddddd" localSheetId="15">#REF!,#REF!</definedName>
    <definedName name="ddddd" localSheetId="16">#REF!,#REF!</definedName>
    <definedName name="ddddd" localSheetId="20">#REF!,#REF!</definedName>
    <definedName name="ddddd" localSheetId="21">#REF!,#REF!</definedName>
    <definedName name="ddddd" localSheetId="4">#REF!,#REF!</definedName>
    <definedName name="ddddd">#REF!,#REF!</definedName>
    <definedName name="dddddd" localSheetId="15">#REF!</definedName>
    <definedName name="dddddd" localSheetId="16">#REF!</definedName>
    <definedName name="dddddd" localSheetId="20">#REF!</definedName>
    <definedName name="dddddd" localSheetId="21">#REF!</definedName>
    <definedName name="dddddd" localSheetId="4">#REF!</definedName>
    <definedName name="dddddd">#REF!</definedName>
    <definedName name="ddddddd" localSheetId="15">#REF!</definedName>
    <definedName name="ddddddd" localSheetId="16">#REF!</definedName>
    <definedName name="ddddddd" localSheetId="20">#REF!</definedName>
    <definedName name="ddddddd" localSheetId="21">#REF!</definedName>
    <definedName name="ddddddd" localSheetId="4">#REF!</definedName>
    <definedName name="ddddddd">#REF!</definedName>
    <definedName name="dfghhhhhjjdjertje" localSheetId="15">#REF!,#REF!</definedName>
    <definedName name="dfghhhhhjjdjertje" localSheetId="16">#REF!,#REF!</definedName>
    <definedName name="dfghhhhhjjdjertje" localSheetId="20">#REF!,#REF!</definedName>
    <definedName name="dfghhhhhjjdjertje" localSheetId="21">#REF!,#REF!</definedName>
    <definedName name="dfghhhhhjjdjertje" localSheetId="4">#REF!,#REF!</definedName>
    <definedName name="dfghhhhhjjdjertje">#REF!,#REF!</definedName>
    <definedName name="dsgjsg" localSheetId="15">#REF!</definedName>
    <definedName name="dsgjsg" localSheetId="16">#REF!</definedName>
    <definedName name="dsgjsg" localSheetId="20">#REF!</definedName>
    <definedName name="dsgjsg" localSheetId="21">#REF!</definedName>
    <definedName name="dsgjsg" localSheetId="4">#REF!</definedName>
    <definedName name="dsgjsg">#REF!</definedName>
    <definedName name="edba" localSheetId="15">#REF!</definedName>
    <definedName name="edba" localSheetId="16">#REF!</definedName>
    <definedName name="edba" localSheetId="20">#REF!</definedName>
    <definedName name="edba" localSheetId="21">#REF!</definedName>
    <definedName name="edba" localSheetId="4">#REF!</definedName>
    <definedName name="edba">#REF!</definedName>
    <definedName name="edcvfrtgb" localSheetId="15">#REF!</definedName>
    <definedName name="edcvfrtgb" localSheetId="16">#REF!</definedName>
    <definedName name="edcvfrtgb" localSheetId="20">#REF!</definedName>
    <definedName name="edcvfrtgb" localSheetId="21">#REF!</definedName>
    <definedName name="edcvfrtgb" localSheetId="4">#REF!</definedName>
    <definedName name="edcvfrtgb">#REF!</definedName>
    <definedName name="EDSE" localSheetId="15">#REF!</definedName>
    <definedName name="EDSE" localSheetId="16">#REF!</definedName>
    <definedName name="EDSE" localSheetId="20">#REF!</definedName>
    <definedName name="EDSE" localSheetId="21">#REF!</definedName>
    <definedName name="EDSE" localSheetId="4">#REF!</definedName>
    <definedName name="EDSE">#REF!</definedName>
    <definedName name="ee" localSheetId="15">#REF!</definedName>
    <definedName name="ee" localSheetId="16">#REF!</definedName>
    <definedName name="ee" localSheetId="20">#REF!</definedName>
    <definedName name="ee" localSheetId="21">#REF!</definedName>
    <definedName name="ee" localSheetId="4">#REF!</definedName>
    <definedName name="ee">#REF!</definedName>
    <definedName name="eee" localSheetId="15">#REF!</definedName>
    <definedName name="eee" localSheetId="16">#REF!</definedName>
    <definedName name="eee" localSheetId="20">#REF!</definedName>
    <definedName name="eee" localSheetId="21">#REF!</definedName>
    <definedName name="eee" localSheetId="4">#REF!</definedName>
    <definedName name="eee">#REF!</definedName>
    <definedName name="ééééééééé" localSheetId="15">#REF!</definedName>
    <definedName name="ééééééééé" localSheetId="16">#REF!</definedName>
    <definedName name="ééééééééé" localSheetId="20">#REF!</definedName>
    <definedName name="ééééééééé" localSheetId="21">#REF!</definedName>
    <definedName name="ééééééééé" localSheetId="4">#REF!</definedName>
    <definedName name="ééééééééé">#REF!</definedName>
    <definedName name="eu">[1]Háttéradatok!$C$29:$AG$32</definedName>
    <definedName name="eus" localSheetId="15">#REF!</definedName>
    <definedName name="eus" localSheetId="16">#REF!</definedName>
    <definedName name="eus" localSheetId="20">#REF!</definedName>
    <definedName name="eus" localSheetId="21">#REF!</definedName>
    <definedName name="eus" localSheetId="4">#REF!</definedName>
    <definedName name="eus">#REF!</definedName>
    <definedName name="excel" localSheetId="15">#REF!,#REF!</definedName>
    <definedName name="excel" localSheetId="16">#REF!,#REF!</definedName>
    <definedName name="excel" localSheetId="20">#REF!,#REF!</definedName>
    <definedName name="excel" localSheetId="21">#REF!,#REF!</definedName>
    <definedName name="excel" localSheetId="4">#REF!,#REF!</definedName>
    <definedName name="excel">#REF!,#REF!</definedName>
    <definedName name="Excel_BuiltIn_Print_Area_1" localSheetId="15">#REF!</definedName>
    <definedName name="Excel_BuiltIn_Print_Area_1" localSheetId="16">#REF!</definedName>
    <definedName name="Excel_BuiltIn_Print_Area_1" localSheetId="20">#REF!</definedName>
    <definedName name="Excel_BuiltIn_Print_Area_1" localSheetId="21">#REF!</definedName>
    <definedName name="Excel_BuiltIn_Print_Area_1" localSheetId="4">#REF!</definedName>
    <definedName name="Excel_BuiltIn_Print_Area_1">#REF!</definedName>
    <definedName name="Excel_BuiltIn_Print_Titles_26" localSheetId="15">#REF!,#REF!</definedName>
    <definedName name="Excel_BuiltIn_Print_Titles_26" localSheetId="16">#REF!,#REF!</definedName>
    <definedName name="Excel_BuiltIn_Print_Titles_26" localSheetId="20">#REF!,#REF!</definedName>
    <definedName name="Excel_BuiltIn_Print_Titles_26" localSheetId="21">#REF!,#REF!</definedName>
    <definedName name="Excel_BuiltIn_Print_Titles_26" localSheetId="4">#REF!,#REF!</definedName>
    <definedName name="Excel_BuiltIn_Print_Titles_26">#REF!,#REF!</definedName>
    <definedName name="ff" localSheetId="15">#REF!</definedName>
    <definedName name="ff" localSheetId="16">#REF!</definedName>
    <definedName name="ff" localSheetId="20">#REF!</definedName>
    <definedName name="ff" localSheetId="21">#REF!</definedName>
    <definedName name="ff" localSheetId="4">#REF!</definedName>
    <definedName name="ff">#REF!</definedName>
    <definedName name="ffd" localSheetId="15">#REF!,#REF!</definedName>
    <definedName name="ffd" localSheetId="16">#REF!,#REF!</definedName>
    <definedName name="ffd" localSheetId="20">#REF!,#REF!</definedName>
    <definedName name="ffd" localSheetId="21">#REF!,#REF!</definedName>
    <definedName name="ffd" localSheetId="4">#REF!,#REF!</definedName>
    <definedName name="ffd">#REF!,#REF!</definedName>
    <definedName name="ffféé">[1]Háttéradatok!$C$29:$AG$32</definedName>
    <definedName name="ffff" localSheetId="15">#REF!</definedName>
    <definedName name="ffff" localSheetId="16">#REF!</definedName>
    <definedName name="ffff" localSheetId="20">#REF!</definedName>
    <definedName name="ffff" localSheetId="21">#REF!</definedName>
    <definedName name="ffff" localSheetId="4">#REF!</definedName>
    <definedName name="ffff">#REF!</definedName>
    <definedName name="fffff">[1]Háttéradatok!$C$29:$AG$32</definedName>
    <definedName name="fghigh_jifj" localSheetId="15">#REF!,#REF!</definedName>
    <definedName name="fghigh_jifj" localSheetId="16">#REF!,#REF!</definedName>
    <definedName name="fghigh_jifj" localSheetId="20">#REF!,#REF!</definedName>
    <definedName name="fghigh_jifj" localSheetId="21">#REF!,#REF!</definedName>
    <definedName name="fghigh_jifj" localSheetId="4">#REF!,#REF!</definedName>
    <definedName name="fghigh_jifj">#REF!,#REF!</definedName>
    <definedName name="Fiumei" localSheetId="15">#REF!</definedName>
    <definedName name="Fiumei" localSheetId="16">#REF!</definedName>
    <definedName name="Fiumei" localSheetId="20">#REF!</definedName>
    <definedName name="Fiumei" localSheetId="21">#REF!</definedName>
    <definedName name="Fiumei" localSheetId="4">#REF!</definedName>
    <definedName name="Fiumei">#REF!</definedName>
    <definedName name="fjkfjkdhdhdghdghj" localSheetId="15">#REF!,#REF!</definedName>
    <definedName name="fjkfjkdhdhdghdghj" localSheetId="16">#REF!,#REF!</definedName>
    <definedName name="fjkfjkdhdhdghdghj" localSheetId="20">#REF!,#REF!</definedName>
    <definedName name="fjkfjkdhdhdghdghj" localSheetId="21">#REF!,#REF!</definedName>
    <definedName name="fjkfjkdhdhdghdghj" localSheetId="4">#REF!,#REF!</definedName>
    <definedName name="fjkfjkdhdhdghdghj">#REF!,#REF!</definedName>
    <definedName name="G">[3]Háttéradatok!$C$29:$AG$32</definedName>
    <definedName name="gaga" localSheetId="15">#REF!</definedName>
    <definedName name="gaga" localSheetId="16">#REF!</definedName>
    <definedName name="gaga" localSheetId="20">#REF!</definedName>
    <definedName name="gaga" localSheetId="21">#REF!</definedName>
    <definedName name="gaga" localSheetId="4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5">#REF!,#REF!</definedName>
    <definedName name="ggg" localSheetId="16">#REF!,#REF!</definedName>
    <definedName name="ggg" localSheetId="20">#REF!,#REF!</definedName>
    <definedName name="ggg" localSheetId="21">#REF!,#REF!</definedName>
    <definedName name="ggg" localSheetId="4">#REF!,#REF!</definedName>
    <definedName name="ggg">#REF!,#REF!</definedName>
    <definedName name="gggg">[3]Háttéradatok!$C$29:$AG$32</definedName>
    <definedName name="ggggggggggggggg" localSheetId="15">#REF!,#REF!</definedName>
    <definedName name="ggggggggggggggg" localSheetId="16">#REF!,#REF!</definedName>
    <definedName name="ggggggggggggggg" localSheetId="20">#REF!,#REF!</definedName>
    <definedName name="ggggggggggggggg" localSheetId="21">#REF!,#REF!</definedName>
    <definedName name="ggggggggggggggg" localSheetId="4">#REF!,#REF!</definedName>
    <definedName name="ggggggggggggggg">#REF!,#REF!</definedName>
    <definedName name="gh" localSheetId="15">#REF!</definedName>
    <definedName name="gh" localSheetId="16">#REF!</definedName>
    <definedName name="gh" localSheetId="20">#REF!</definedName>
    <definedName name="gh" localSheetId="21">#REF!</definedName>
    <definedName name="gh" localSheetId="4">#REF!</definedName>
    <definedName name="gh">#REF!</definedName>
    <definedName name="gyj" localSheetId="15">#REF!</definedName>
    <definedName name="gyj" localSheetId="16">#REF!</definedName>
    <definedName name="gyj" localSheetId="20">#REF!</definedName>
    <definedName name="gyj" localSheetId="21">#REF!</definedName>
    <definedName name="gyj" localSheetId="4">#REF!</definedName>
    <definedName name="gyj">#REF!</definedName>
    <definedName name="gyj_k">[2]Gyermekjóléti!$C$27:$C$86</definedName>
    <definedName name="gyj_k_" localSheetId="15">#REF!</definedName>
    <definedName name="gyj_k_" localSheetId="16">#REF!</definedName>
    <definedName name="gyj_k_" localSheetId="20">#REF!</definedName>
    <definedName name="gyj_k_" localSheetId="21">#REF!</definedName>
    <definedName name="gyj_k_" localSheetId="4">#REF!</definedName>
    <definedName name="gyj_k_">#REF!</definedName>
    <definedName name="gyjk" localSheetId="15">#REF!</definedName>
    <definedName name="gyjk" localSheetId="16">#REF!</definedName>
    <definedName name="gyjk" localSheetId="20">#REF!</definedName>
    <definedName name="gyjk" localSheetId="21">#REF!</definedName>
    <definedName name="gyjk" localSheetId="4">#REF!</definedName>
    <definedName name="gyjk">#REF!</definedName>
    <definedName name="hh" localSheetId="15">#REF!</definedName>
    <definedName name="hh" localSheetId="16">#REF!</definedName>
    <definedName name="hh" localSheetId="20">#REF!</definedName>
    <definedName name="hh" localSheetId="21">#REF!</definedName>
    <definedName name="hh" localSheetId="4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5">#REF!</definedName>
    <definedName name="jj" localSheetId="16">#REF!</definedName>
    <definedName name="jj" localSheetId="20">#REF!</definedName>
    <definedName name="jj" localSheetId="21">#REF!</definedName>
    <definedName name="jj" localSheetId="4">#REF!</definedName>
    <definedName name="jj">#REF!</definedName>
    <definedName name="jjjjj" localSheetId="15">#REF!,#REF!</definedName>
    <definedName name="jjjjj" localSheetId="16">#REF!,#REF!</definedName>
    <definedName name="jjjjj" localSheetId="20">#REF!,#REF!</definedName>
    <definedName name="jjjjj" localSheetId="21">#REF!,#REF!</definedName>
    <definedName name="jjjjj" localSheetId="4">#REF!,#REF!</definedName>
    <definedName name="jjjjj">#REF!,#REF!</definedName>
    <definedName name="jjjjjjjjjjjjjjjjjjjjjj" localSheetId="15">#REF!</definedName>
    <definedName name="jjjjjjjjjjjjjjjjjjjjjj" localSheetId="16">#REF!</definedName>
    <definedName name="jjjjjjjjjjjjjjjjjjjjjj" localSheetId="20">#REF!</definedName>
    <definedName name="jjjjjjjjjjjjjjjjjjjjjj" localSheetId="21">#REF!</definedName>
    <definedName name="jjjjjjjjjjjjjjjjjjjjjj" localSheetId="4">#REF!</definedName>
    <definedName name="jjjjjjjjjjjjjjjjjjjjjj">#REF!</definedName>
    <definedName name="k" localSheetId="15">#REF!</definedName>
    <definedName name="k" localSheetId="16">#REF!</definedName>
    <definedName name="k" localSheetId="20">#REF!</definedName>
    <definedName name="k" localSheetId="21">#REF!</definedName>
    <definedName name="k" localSheetId="4">#REF!</definedName>
    <definedName name="k">#REF!</definedName>
    <definedName name="kill" localSheetId="15">#REF!</definedName>
    <definedName name="kill" localSheetId="16">#REF!</definedName>
    <definedName name="kill" localSheetId="20">#REF!</definedName>
    <definedName name="kill" localSheetId="21">#REF!</definedName>
    <definedName name="kill" localSheetId="4">#REF!</definedName>
    <definedName name="kill">#REF!</definedName>
    <definedName name="kiskuta" localSheetId="15">#REF!</definedName>
    <definedName name="kiskuta" localSheetId="16">#REF!</definedName>
    <definedName name="kiskuta" localSheetId="20">#REF!</definedName>
    <definedName name="kiskuta" localSheetId="21">#REF!</definedName>
    <definedName name="kiskuta" localSheetId="4">#REF!</definedName>
    <definedName name="kiskuta">#REF!</definedName>
    <definedName name="kistérség" localSheetId="15">#REF!</definedName>
    <definedName name="kistérség" localSheetId="16">#REF!</definedName>
    <definedName name="kistérség" localSheetId="20">#REF!</definedName>
    <definedName name="kistérség" localSheetId="21">#REF!</definedName>
    <definedName name="kistérség" localSheetId="4">#REF!</definedName>
    <definedName name="kistérség">#REF!</definedName>
    <definedName name="kjz" localSheetId="15">#REF!</definedName>
    <definedName name="kjz" localSheetId="16">#REF!</definedName>
    <definedName name="kjz" localSheetId="20">#REF!</definedName>
    <definedName name="kjz" localSheetId="21">#REF!</definedName>
    <definedName name="kjz" localSheetId="4">#REF!</definedName>
    <definedName name="kjz">#REF!</definedName>
    <definedName name="kjz_k">[2]körjegyzőség!$C$9:$C$28</definedName>
    <definedName name="kjz_k_" localSheetId="15">#REF!</definedName>
    <definedName name="kjz_k_" localSheetId="16">#REF!</definedName>
    <definedName name="kjz_k_" localSheetId="20">#REF!</definedName>
    <definedName name="kjz_k_" localSheetId="21">#REF!</definedName>
    <definedName name="kjz_k_" localSheetId="4">#REF!</definedName>
    <definedName name="kjz_k_">#REF!</definedName>
    <definedName name="kjz_sz">[9]kd!$Q$2:$Q$3152</definedName>
    <definedName name="klll" localSheetId="15">#REF!</definedName>
    <definedName name="klll" localSheetId="16">#REF!</definedName>
    <definedName name="klll" localSheetId="20">#REF!</definedName>
    <definedName name="klll" localSheetId="21">#REF!</definedName>
    <definedName name="klll" localSheetId="4">#REF!</definedName>
    <definedName name="klll">#REF!</definedName>
    <definedName name="Kodály" localSheetId="15">#REF!</definedName>
    <definedName name="Kodály" localSheetId="16">#REF!</definedName>
    <definedName name="Kodály" localSheetId="20">#REF!</definedName>
    <definedName name="Kodály" localSheetId="21">#REF!</definedName>
    <definedName name="Kodály" localSheetId="4">#REF!</definedName>
    <definedName name="Kodály">#REF!</definedName>
    <definedName name="l" localSheetId="15">#REF!</definedName>
    <definedName name="l" localSheetId="16">#REF!</definedName>
    <definedName name="l" localSheetId="20">#REF!</definedName>
    <definedName name="l" localSheetId="21">#REF!</definedName>
    <definedName name="l" localSheetId="4">#REF!</definedName>
    <definedName name="l">#REF!</definedName>
    <definedName name="lkjjghdk" localSheetId="15">#REF!</definedName>
    <definedName name="lkjjghdk" localSheetId="16">#REF!</definedName>
    <definedName name="lkjjghdk" localSheetId="20">#REF!</definedName>
    <definedName name="lkjjghdk" localSheetId="21">#REF!</definedName>
    <definedName name="lkjjghdk" localSheetId="4">#REF!</definedName>
    <definedName name="lkjjghdk">#REF!</definedName>
    <definedName name="llllll" localSheetId="15">#REF!</definedName>
    <definedName name="llllll" localSheetId="16">#REF!</definedName>
    <definedName name="llllll" localSheetId="20">#REF!</definedName>
    <definedName name="llllll" localSheetId="21">#REF!</definedName>
    <definedName name="llllll" localSheetId="4">#REF!</definedName>
    <definedName name="llllll">#REF!</definedName>
    <definedName name="llllllll" localSheetId="15">#REF!</definedName>
    <definedName name="llllllll" localSheetId="16">#REF!</definedName>
    <definedName name="llllllll" localSheetId="20">#REF!</definedName>
    <definedName name="llllllll" localSheetId="21">#REF!</definedName>
    <definedName name="llllllll" localSheetId="4">#REF!</definedName>
    <definedName name="llllllll">#REF!</definedName>
    <definedName name="lllllllllll" localSheetId="15">#REF!,#REF!</definedName>
    <definedName name="lllllllllll" localSheetId="16">#REF!,#REF!</definedName>
    <definedName name="lllllllllll" localSheetId="20">#REF!,#REF!</definedName>
    <definedName name="lllllllllll" localSheetId="21">#REF!,#REF!</definedName>
    <definedName name="lllllllllll" localSheetId="4">#REF!,#REF!</definedName>
    <definedName name="lllllllllll">#REF!,#REF!</definedName>
    <definedName name="llllllllllllllll" localSheetId="15">#REF!</definedName>
    <definedName name="llllllllllllllll" localSheetId="16">#REF!</definedName>
    <definedName name="llllllllllllllll" localSheetId="20">#REF!</definedName>
    <definedName name="llllllllllllllll" localSheetId="21">#REF!</definedName>
    <definedName name="llllllllllllllll" localSheetId="4">#REF!</definedName>
    <definedName name="llllllllllllllll">#REF!</definedName>
    <definedName name="m" localSheetId="15">#REF!</definedName>
    <definedName name="m" localSheetId="16">#REF!</definedName>
    <definedName name="m" localSheetId="20">#REF!</definedName>
    <definedName name="m" localSheetId="21">#REF!</definedName>
    <definedName name="m" localSheetId="4">#REF!</definedName>
    <definedName name="m">#REF!</definedName>
    <definedName name="más" localSheetId="15">#REF!,#REF!</definedName>
    <definedName name="más" localSheetId="16">#REF!,#REF!</definedName>
    <definedName name="más" localSheetId="20">#REF!,#REF!</definedName>
    <definedName name="más" localSheetId="21">#REF!,#REF!</definedName>
    <definedName name="más" localSheetId="4">#REF!,#REF!</definedName>
    <definedName name="más">#REF!,#REF!</definedName>
    <definedName name="másik" localSheetId="15">#REF!,#REF!</definedName>
    <definedName name="másik" localSheetId="16">#REF!,#REF!</definedName>
    <definedName name="másik" localSheetId="20">#REF!,#REF!</definedName>
    <definedName name="másik" localSheetId="21">#REF!,#REF!</definedName>
    <definedName name="másik" localSheetId="4">#REF!,#REF!</definedName>
    <definedName name="másik">#REF!,#REF!</definedName>
    <definedName name="mmm" localSheetId="15">#REF!</definedName>
    <definedName name="mmm" localSheetId="16">#REF!</definedName>
    <definedName name="mmm" localSheetId="20">#REF!</definedName>
    <definedName name="mmm" localSheetId="21">#REF!</definedName>
    <definedName name="mmm" localSheetId="4">#REF!</definedName>
    <definedName name="mmm">#REF!</definedName>
    <definedName name="mnb" localSheetId="15">#REF!</definedName>
    <definedName name="mnb" localSheetId="16">#REF!</definedName>
    <definedName name="mnb" localSheetId="20">#REF!</definedName>
    <definedName name="mnb" localSheetId="21">#REF!</definedName>
    <definedName name="mnb" localSheetId="4">#REF!</definedName>
    <definedName name="mnb">#REF!</definedName>
    <definedName name="mnbvc" localSheetId="15">#REF!</definedName>
    <definedName name="mnbvc" localSheetId="16">#REF!</definedName>
    <definedName name="mnbvc" localSheetId="20">#REF!</definedName>
    <definedName name="mnbvc" localSheetId="21">#REF!</definedName>
    <definedName name="mnbvc" localSheetId="4">#REF!</definedName>
    <definedName name="mnbvc">#REF!</definedName>
    <definedName name="mskfas" localSheetId="15">#REF!,#REF!</definedName>
    <definedName name="mskfas" localSheetId="16">#REF!,#REF!</definedName>
    <definedName name="mskfas" localSheetId="20">#REF!,#REF!</definedName>
    <definedName name="mskfas" localSheetId="21">#REF!,#REF!</definedName>
    <definedName name="mskfas" localSheetId="4">#REF!,#REF!</definedName>
    <definedName name="mskfas">#REF!,#REF!</definedName>
    <definedName name="n" localSheetId="15">#REF!</definedName>
    <definedName name="n" localSheetId="16">#REF!</definedName>
    <definedName name="n" localSheetId="20">#REF!</definedName>
    <definedName name="n" localSheetId="21">#REF!</definedName>
    <definedName name="n" localSheetId="4">#REF!</definedName>
    <definedName name="n">#REF!</definedName>
    <definedName name="nb" localSheetId="15">#REF!</definedName>
    <definedName name="nb" localSheetId="16">#REF!</definedName>
    <definedName name="nb" localSheetId="20">#REF!</definedName>
    <definedName name="nb" localSheetId="21">#REF!</definedName>
    <definedName name="nb" localSheetId="4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5">#REF!</definedName>
    <definedName name="nev_c" localSheetId="16">#REF!</definedName>
    <definedName name="nev_c" localSheetId="20">#REF!</definedName>
    <definedName name="nev_c" localSheetId="21">#REF!</definedName>
    <definedName name="nev_c" localSheetId="4">#REF!</definedName>
    <definedName name="nev_c">#REF!</definedName>
    <definedName name="nev_g" localSheetId="15">#REF!</definedName>
    <definedName name="nev_g" localSheetId="16">#REF!</definedName>
    <definedName name="nev_g" localSheetId="20">#REF!</definedName>
    <definedName name="nev_g" localSheetId="21">#REF!</definedName>
    <definedName name="nev_g" localSheetId="4">#REF!</definedName>
    <definedName name="nev_g">#REF!</definedName>
    <definedName name="nev_k" localSheetId="15">#REF!</definedName>
    <definedName name="nev_k" localSheetId="16">#REF!</definedName>
    <definedName name="nev_k" localSheetId="20">#REF!</definedName>
    <definedName name="nev_k" localSheetId="21">#REF!</definedName>
    <definedName name="nev_k" localSheetId="4">#REF!</definedName>
    <definedName name="nev_k">#REF!</definedName>
    <definedName name="név_k" localSheetId="15">#REF!</definedName>
    <definedName name="név_k" localSheetId="16">#REF!</definedName>
    <definedName name="név_k" localSheetId="20">#REF!</definedName>
    <definedName name="név_k" localSheetId="21">#REF!</definedName>
    <definedName name="név_k" localSheetId="4">#REF!</definedName>
    <definedName name="név_k">#REF!</definedName>
    <definedName name="nnn" localSheetId="15">#REF!</definedName>
    <definedName name="nnn" localSheetId="16">#REF!</definedName>
    <definedName name="nnn" localSheetId="20">#REF!</definedName>
    <definedName name="nnn" localSheetId="21">#REF!</definedName>
    <definedName name="nnn" localSheetId="4">#REF!</definedName>
    <definedName name="nnn">#REF!</definedName>
    <definedName name="nnnnnnnnnnnnnnnnnnnnnnnnnnnnnnnnnnnnn" localSheetId="15">#REF!</definedName>
    <definedName name="nnnnnnnnnnnnnnnnnnnnnnnnnnnnnnnnnnnnn" localSheetId="16">#REF!</definedName>
    <definedName name="nnnnnnnnnnnnnnnnnnnnnnnnnnnnnnnnnnnnn" localSheetId="20">#REF!</definedName>
    <definedName name="nnnnnnnnnnnnnnnnnnnnnnnnnnnnnnnnnnnnn" localSheetId="21">#REF!</definedName>
    <definedName name="nnnnnnnnnnnnnnnnnnnnnnnnnnnnnnnnnnnnn" localSheetId="4">#REF!</definedName>
    <definedName name="nnnnnnnnnnnnnnnnnnnnnnnnnnnnnnnnnnnnn">#REF!</definedName>
    <definedName name="_xlnm.Print_Titles" localSheetId="10">'9.1.sz.mell'!$1:$3</definedName>
    <definedName name="_xlnm.Print_Titles" localSheetId="11">'9.2.sz.mell'!$1:$3</definedName>
    <definedName name="_xlnm.Print_Area" localSheetId="33">'16.sz.mell'!$A$1:$C$16</definedName>
    <definedName name="_xlnm.Print_Area" localSheetId="34">'17.sz.mell'!$A$1:$F$29</definedName>
    <definedName name="_xlnm.Print_Area" localSheetId="4">'4. sz.mell'!$A$1:$C$29</definedName>
    <definedName name="_xlnm.Print_Area" localSheetId="8">'7.sz.mell.'!$A$1:$L$11</definedName>
    <definedName name="_xlnm.Print_Area" localSheetId="10">'9.1.sz.mell'!$A$1:$M$25</definedName>
    <definedName name="_xlnm.Print_Area" localSheetId="11">'9.2.sz.mell'!$A$1:$M$50</definedName>
    <definedName name="okod">[9]kd!$F$2:$I$3368</definedName>
    <definedName name="oooooooooooooooooooooo" localSheetId="15">#REF!</definedName>
    <definedName name="oooooooooooooooooooooo" localSheetId="16">#REF!</definedName>
    <definedName name="oooooooooooooooooooooo" localSheetId="20">#REF!</definedName>
    <definedName name="oooooooooooooooooooooo" localSheetId="21">#REF!</definedName>
    <definedName name="oooooooooooooooooooooo" localSheetId="4">#REF!</definedName>
    <definedName name="oooooooooooooooooooooo">#REF!</definedName>
    <definedName name="ovi" localSheetId="15">#REF!</definedName>
    <definedName name="ovi" localSheetId="16">#REF!</definedName>
    <definedName name="ovi" localSheetId="20">#REF!</definedName>
    <definedName name="ovi" localSheetId="21">#REF!</definedName>
    <definedName name="ovi" localSheetId="4">#REF!</definedName>
    <definedName name="ovi">#REF!</definedName>
    <definedName name="óvoda" localSheetId="4">#REF!</definedName>
    <definedName name="óvoda">#REF!</definedName>
    <definedName name="ő" localSheetId="15">#REF!</definedName>
    <definedName name="ő" localSheetId="16">#REF!</definedName>
    <definedName name="ő" localSheetId="20">#REF!</definedName>
    <definedName name="ő" localSheetId="21">#REF!</definedName>
    <definedName name="ő" localSheetId="4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5">#REF!</definedName>
    <definedName name="őőőőőőőőőőőőő" localSheetId="16">#REF!</definedName>
    <definedName name="őőőőőőőőőőőőő" localSheetId="20">#REF!</definedName>
    <definedName name="őőőőőőőőőőőőő" localSheetId="21">#REF!</definedName>
    <definedName name="őőőőőőőőőőőőő" localSheetId="4">#REF!</definedName>
    <definedName name="őőőőőőőőőőőőő">#REF!</definedName>
    <definedName name="őpoiuztr" localSheetId="15">#REF!</definedName>
    <definedName name="őpoiuztr" localSheetId="16">#REF!</definedName>
    <definedName name="őpoiuztr" localSheetId="20">#REF!</definedName>
    <definedName name="őpoiuztr" localSheetId="21">#REF!</definedName>
    <definedName name="őpoiuztr" localSheetId="4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5">#REF!,#REF!</definedName>
    <definedName name="ppppppppppppppp" localSheetId="16">#REF!,#REF!</definedName>
    <definedName name="ppppppppppppppp" localSheetId="20">#REF!,#REF!</definedName>
    <definedName name="ppppppppppppppp" localSheetId="21">#REF!,#REF!</definedName>
    <definedName name="ppppppppppppppp" localSheetId="4">#REF!,#REF!</definedName>
    <definedName name="ppppppppppppppp">#REF!,#REF!</definedName>
    <definedName name="Q" localSheetId="15">#REF!</definedName>
    <definedName name="Q" localSheetId="16">#REF!</definedName>
    <definedName name="Q" localSheetId="20">#REF!</definedName>
    <definedName name="Q" localSheetId="21">#REF!</definedName>
    <definedName name="Q" localSheetId="4">#REF!</definedName>
    <definedName name="Q">#REF!</definedName>
    <definedName name="qaywsx" localSheetId="15">#REF!,#REF!</definedName>
    <definedName name="qaywsx" localSheetId="16">#REF!,#REF!</definedName>
    <definedName name="qaywsx" localSheetId="20">#REF!,#REF!</definedName>
    <definedName name="qaywsx" localSheetId="21">#REF!,#REF!</definedName>
    <definedName name="qaywsx" localSheetId="4">#REF!,#REF!</definedName>
    <definedName name="qaywsx">#REF!,#REF!</definedName>
    <definedName name="QQ" localSheetId="15">#REF!</definedName>
    <definedName name="QQ" localSheetId="16">#REF!</definedName>
    <definedName name="QQ" localSheetId="20">#REF!</definedName>
    <definedName name="QQ" localSheetId="21">#REF!</definedName>
    <definedName name="QQ" localSheetId="4">#REF!</definedName>
    <definedName name="QQ">#REF!</definedName>
    <definedName name="qqqq" localSheetId="15">#REF!</definedName>
    <definedName name="qqqq" localSheetId="16">#REF!</definedName>
    <definedName name="qqqq" localSheetId="20">#REF!</definedName>
    <definedName name="qqqq" localSheetId="21">#REF!</definedName>
    <definedName name="qqqq" localSheetId="4">#REF!</definedName>
    <definedName name="qqqq">#REF!</definedName>
    <definedName name="qqqqq" localSheetId="15">#REF!</definedName>
    <definedName name="qqqqq" localSheetId="16">#REF!</definedName>
    <definedName name="qqqqq" localSheetId="20">#REF!</definedName>
    <definedName name="qqqqq" localSheetId="21">#REF!</definedName>
    <definedName name="qqqqq" localSheetId="4">#REF!</definedName>
    <definedName name="qqqqq">#REF!</definedName>
    <definedName name="qqqqqq" localSheetId="15">#REF!,#REF!</definedName>
    <definedName name="qqqqqq" localSheetId="16">#REF!,#REF!</definedName>
    <definedName name="qqqqqq" localSheetId="20">#REF!,#REF!</definedName>
    <definedName name="qqqqqq" localSheetId="21">#REF!,#REF!</definedName>
    <definedName name="qqqqqq" localSheetId="4">#REF!,#REF!</definedName>
    <definedName name="qqqqqq">#REF!,#REF!</definedName>
    <definedName name="qqqqqqqq" localSheetId="15">#REF!</definedName>
    <definedName name="qqqqqqqq" localSheetId="16">#REF!</definedName>
    <definedName name="qqqqqqqq" localSheetId="20">#REF!</definedName>
    <definedName name="qqqqqqqq" localSheetId="21">#REF!</definedName>
    <definedName name="qqqqqqqq" localSheetId="4">#REF!</definedName>
    <definedName name="qqqqqqqq">#REF!</definedName>
    <definedName name="qqqqqqqqq" localSheetId="15">#REF!</definedName>
    <definedName name="qqqqqqqqq" localSheetId="16">#REF!</definedName>
    <definedName name="qqqqqqqqq" localSheetId="20">#REF!</definedName>
    <definedName name="qqqqqqqqq" localSheetId="21">#REF!</definedName>
    <definedName name="qqqqqqqqq" localSheetId="4">#REF!</definedName>
    <definedName name="qqqqqqqqq">#REF!</definedName>
    <definedName name="qqqqqqqqqq" localSheetId="15">#REF!</definedName>
    <definedName name="qqqqqqqqqq" localSheetId="16">#REF!</definedName>
    <definedName name="qqqqqqqqqq" localSheetId="20">#REF!</definedName>
    <definedName name="qqqqqqqqqq" localSheetId="21">#REF!</definedName>
    <definedName name="qqqqqqqqqq" localSheetId="4">#REF!</definedName>
    <definedName name="qqqqqqqqqq">#REF!</definedName>
    <definedName name="qqqqqqqqqqq" localSheetId="15">#REF!</definedName>
    <definedName name="qqqqqqqqqqq" localSheetId="16">#REF!</definedName>
    <definedName name="qqqqqqqqqqq" localSheetId="20">#REF!</definedName>
    <definedName name="qqqqqqqqqqq" localSheetId="21">#REF!</definedName>
    <definedName name="qqqqqqqqqqq" localSheetId="4">#REF!</definedName>
    <definedName name="qqqqqqqqqqq">#REF!</definedName>
    <definedName name="qqqqqqqqqqqqq" localSheetId="15">#REF!</definedName>
    <definedName name="qqqqqqqqqqqqq" localSheetId="16">#REF!</definedName>
    <definedName name="qqqqqqqqqqqqq" localSheetId="20">#REF!</definedName>
    <definedName name="qqqqqqqqqqqqq" localSheetId="21">#REF!</definedName>
    <definedName name="qqqqqqqqqqqqq" localSheetId="4">#REF!</definedName>
    <definedName name="qqqqqqqqqqqqq">#REF!</definedName>
    <definedName name="qqqqqqqqqqqqqqq" localSheetId="15">#REF!,#REF!</definedName>
    <definedName name="qqqqqqqqqqqqqqq" localSheetId="16">#REF!,#REF!</definedName>
    <definedName name="qqqqqqqqqqqqqqq" localSheetId="20">#REF!,#REF!</definedName>
    <definedName name="qqqqqqqqqqqqqqq" localSheetId="21">#REF!,#REF!</definedName>
    <definedName name="qqqqqqqqqqqqqqq" localSheetId="4">#REF!,#REF!</definedName>
    <definedName name="qqqqqqqqqqqqqqq">#REF!,#REF!</definedName>
    <definedName name="qqqqqqqqqqqqqqqq" localSheetId="15">#REF!</definedName>
    <definedName name="qqqqqqqqqqqqqqqq" localSheetId="16">#REF!</definedName>
    <definedName name="qqqqqqqqqqqqqqqq" localSheetId="20">#REF!</definedName>
    <definedName name="qqqqqqqqqqqqqqqq" localSheetId="21">#REF!</definedName>
    <definedName name="qqqqqqqqqqqqqqqq" localSheetId="4">#REF!</definedName>
    <definedName name="qqqqqqqqqqqqqqqq">#REF!</definedName>
    <definedName name="qqqqqqqqqqqqqqqqq" localSheetId="15">#REF!</definedName>
    <definedName name="qqqqqqqqqqqqqqqqq" localSheetId="16">#REF!</definedName>
    <definedName name="qqqqqqqqqqqqqqqqq" localSheetId="20">#REF!</definedName>
    <definedName name="qqqqqqqqqqqqqqqqq" localSheetId="21">#REF!</definedName>
    <definedName name="qqqqqqqqqqqqqqqqq" localSheetId="4">#REF!</definedName>
    <definedName name="qqqqqqqqqqqqqqqqq">#REF!</definedName>
    <definedName name="retzijk" localSheetId="15">#REF!</definedName>
    <definedName name="retzijk" localSheetId="16">#REF!</definedName>
    <definedName name="retzijk" localSheetId="20">#REF!</definedName>
    <definedName name="retzijk" localSheetId="21">#REF!</definedName>
    <definedName name="retzijk" localSheetId="4">#REF!</definedName>
    <definedName name="retzijk">#REF!</definedName>
    <definedName name="rr" localSheetId="15">#REF!</definedName>
    <definedName name="rr" localSheetId="16">#REF!</definedName>
    <definedName name="rr" localSheetId="20">#REF!</definedName>
    <definedName name="rr" localSheetId="21">#REF!</definedName>
    <definedName name="rr" localSheetId="4">#REF!</definedName>
    <definedName name="rr">#REF!</definedName>
    <definedName name="rrr" localSheetId="15">#REF!</definedName>
    <definedName name="rrr" localSheetId="16">#REF!</definedName>
    <definedName name="rrr" localSheetId="20">#REF!</definedName>
    <definedName name="rrr" localSheetId="21">#REF!</definedName>
    <definedName name="rrr" localSheetId="4">#REF!</definedName>
    <definedName name="rrr">#REF!</definedName>
    <definedName name="rrrr" localSheetId="15">#REF!</definedName>
    <definedName name="rrrr" localSheetId="16">#REF!</definedName>
    <definedName name="rrrr" localSheetId="20">#REF!</definedName>
    <definedName name="rrrr" localSheetId="21">#REF!</definedName>
    <definedName name="rrrr" localSheetId="4">#REF!</definedName>
    <definedName name="rrrr">#REF!</definedName>
    <definedName name="rrrrr" localSheetId="15">#REF!</definedName>
    <definedName name="rrrrr" localSheetId="16">#REF!</definedName>
    <definedName name="rrrrr" localSheetId="20">#REF!</definedName>
    <definedName name="rrrrr" localSheetId="21">#REF!</definedName>
    <definedName name="rrrrr" localSheetId="4">#REF!</definedName>
    <definedName name="rrrrr">#REF!</definedName>
    <definedName name="rrrrrr" localSheetId="15">#REF!</definedName>
    <definedName name="rrrrrr" localSheetId="16">#REF!</definedName>
    <definedName name="rrrrrr" localSheetId="20">#REF!</definedName>
    <definedName name="rrrrrr" localSheetId="21">#REF!</definedName>
    <definedName name="rrrrrr" localSheetId="4">#REF!</definedName>
    <definedName name="rrrrrr">#REF!</definedName>
    <definedName name="rrrrrrrr" localSheetId="15">#REF!,#REF!</definedName>
    <definedName name="rrrrrrrr" localSheetId="16">#REF!,#REF!</definedName>
    <definedName name="rrrrrrrr" localSheetId="20">#REF!,#REF!</definedName>
    <definedName name="rrrrrrrr" localSheetId="21">#REF!,#REF!</definedName>
    <definedName name="rrrrrrrr" localSheetId="4">#REF!,#REF!</definedName>
    <definedName name="rrrrrrrr">#REF!,#REF!</definedName>
    <definedName name="rrrrrrrrrr" localSheetId="15">#REF!</definedName>
    <definedName name="rrrrrrrrrr" localSheetId="16">#REF!</definedName>
    <definedName name="rrrrrrrrrr" localSheetId="20">#REF!</definedName>
    <definedName name="rrrrrrrrrr" localSheetId="21">#REF!</definedName>
    <definedName name="rrrrrrrrrr" localSheetId="4">#REF!</definedName>
    <definedName name="rrrrrrrrrr">#REF!</definedName>
    <definedName name="rrrrrrrrrrrr" localSheetId="15">#REF!</definedName>
    <definedName name="rrrrrrrrrrrr" localSheetId="16">#REF!</definedName>
    <definedName name="rrrrrrrrrrrr" localSheetId="20">#REF!</definedName>
    <definedName name="rrrrrrrrrrrr" localSheetId="21">#REF!</definedName>
    <definedName name="rrrrrrrrrrrr" localSheetId="4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5">#REF!</definedName>
    <definedName name="ssscx" localSheetId="16">#REF!</definedName>
    <definedName name="ssscx" localSheetId="20">#REF!</definedName>
    <definedName name="ssscx" localSheetId="21">#REF!</definedName>
    <definedName name="ssscx" localSheetId="4">#REF!</definedName>
    <definedName name="ssscx">#REF!</definedName>
    <definedName name="sssss">[1]Háttéradatok!$C$29:$AG$32</definedName>
    <definedName name="sue" localSheetId="15">#REF!</definedName>
    <definedName name="sue" localSheetId="16">#REF!</definedName>
    <definedName name="sue" localSheetId="20">#REF!</definedName>
    <definedName name="sue" localSheetId="21">#REF!</definedName>
    <definedName name="sue" localSheetId="4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5">#REF!,#REF!</definedName>
    <definedName name="t" localSheetId="16">#REF!,#REF!</definedName>
    <definedName name="t" localSheetId="20">#REF!,#REF!</definedName>
    <definedName name="t" localSheetId="21">#REF!,#REF!</definedName>
    <definedName name="t" localSheetId="4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5">#REF!</definedName>
    <definedName name="újsablon" localSheetId="16">#REF!</definedName>
    <definedName name="újsablon" localSheetId="20">#REF!</definedName>
    <definedName name="újsablon" localSheetId="21">#REF!</definedName>
    <definedName name="újsablon" localSheetId="4">#REF!</definedName>
    <definedName name="újsablon">#REF!</definedName>
    <definedName name="uuuuu" localSheetId="15">#REF!</definedName>
    <definedName name="uuuuu" localSheetId="16">#REF!</definedName>
    <definedName name="uuuuu" localSheetId="20">#REF!</definedName>
    <definedName name="uuuuu" localSheetId="21">#REF!</definedName>
    <definedName name="uuuuu" localSheetId="4">#REF!</definedName>
    <definedName name="uuuuu">#REF!</definedName>
    <definedName name="v" localSheetId="15">#REF!</definedName>
    <definedName name="v" localSheetId="16">#REF!</definedName>
    <definedName name="v" localSheetId="20">#REF!</definedName>
    <definedName name="v" localSheetId="21">#REF!</definedName>
    <definedName name="v" localSheetId="4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5">#REF!</definedName>
    <definedName name="vv" localSheetId="16">#REF!</definedName>
    <definedName name="vv" localSheetId="20">#REF!</definedName>
    <definedName name="vv" localSheetId="21">#REF!</definedName>
    <definedName name="vv" localSheetId="4">#REF!</definedName>
    <definedName name="vv">#REF!</definedName>
    <definedName name="x" localSheetId="15">#REF!</definedName>
    <definedName name="x" localSheetId="16">#REF!</definedName>
    <definedName name="x" localSheetId="20">#REF!</definedName>
    <definedName name="x" localSheetId="21">#REF!</definedName>
    <definedName name="x" localSheetId="4">#REF!</definedName>
    <definedName name="x">#REF!</definedName>
    <definedName name="xcvbnm" localSheetId="15">#REF!</definedName>
    <definedName name="xcvbnm" localSheetId="16">#REF!</definedName>
    <definedName name="xcvbnm" localSheetId="20">#REF!</definedName>
    <definedName name="xcvbnm" localSheetId="21">#REF!</definedName>
    <definedName name="xcvbnm" localSheetId="4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5">#REF!</definedName>
    <definedName name="xxxxxxxxxxxxxxxxxxxxxxxxxxx" localSheetId="16">#REF!</definedName>
    <definedName name="xxxxxxxxxxxxxxxxxxxxxxxxxxx" localSheetId="20">#REF!</definedName>
    <definedName name="xxxxxxxxxxxxxxxxxxxxxxxxxxx" localSheetId="21">#REF!</definedName>
    <definedName name="xxxxxxxxxxxxxxxxxxxxxxxxxxx" localSheetId="4">#REF!</definedName>
    <definedName name="xxxxxxxxxxxxxxxxxxxxxxxxxxx">#REF!</definedName>
    <definedName name="y" localSheetId="15">#REF!,#REF!</definedName>
    <definedName name="y" localSheetId="16">#REF!,#REF!</definedName>
    <definedName name="y" localSheetId="20">#REF!,#REF!</definedName>
    <definedName name="y" localSheetId="21">#REF!,#REF!</definedName>
    <definedName name="y" localSheetId="4">#REF!,#REF!</definedName>
    <definedName name="y">#REF!,#REF!</definedName>
    <definedName name="ycxd" localSheetId="15">#REF!</definedName>
    <definedName name="ycxd" localSheetId="16">#REF!</definedName>
    <definedName name="ycxd" localSheetId="20">#REF!</definedName>
    <definedName name="ycxd" localSheetId="21">#REF!</definedName>
    <definedName name="ycxd" localSheetId="4">#REF!</definedName>
    <definedName name="ycxd">#REF!</definedName>
    <definedName name="yxc" localSheetId="15">#REF!</definedName>
    <definedName name="yxc" localSheetId="16">#REF!</definedName>
    <definedName name="yxc" localSheetId="20">#REF!</definedName>
    <definedName name="yxc" localSheetId="21">#REF!</definedName>
    <definedName name="yxc" localSheetId="4">#REF!</definedName>
    <definedName name="yxc">#REF!</definedName>
    <definedName name="zzz">[1]Háttéradatok!$B$22:$AG$28</definedName>
  </definedNames>
  <calcPr calcId="162913"/>
</workbook>
</file>

<file path=xl/calcChain.xml><?xml version="1.0" encoding="utf-8"?>
<calcChain xmlns="http://schemas.openxmlformats.org/spreadsheetml/2006/main">
  <c r="F59" i="55" l="1"/>
  <c r="E59" i="55"/>
  <c r="D59" i="55"/>
  <c r="F58" i="55"/>
  <c r="F56" i="55"/>
  <c r="E56" i="55"/>
  <c r="D56" i="55"/>
  <c r="F55" i="55"/>
  <c r="D52" i="55"/>
  <c r="D57" i="55" s="1"/>
  <c r="D60" i="55" s="1"/>
  <c r="F51" i="55"/>
  <c r="F50" i="55"/>
  <c r="F52" i="55" s="1"/>
  <c r="F57" i="55" s="1"/>
  <c r="F60" i="55" s="1"/>
  <c r="E49" i="55"/>
  <c r="E52" i="55" s="1"/>
  <c r="E57" i="55" s="1"/>
  <c r="E60" i="55" s="1"/>
  <c r="E48" i="55"/>
  <c r="E47" i="55"/>
  <c r="E38" i="55"/>
  <c r="E37" i="55" s="1"/>
  <c r="F37" i="55"/>
  <c r="D37" i="55"/>
  <c r="F36" i="55"/>
  <c r="F34" i="55" s="1"/>
  <c r="F40" i="55" s="1"/>
  <c r="F41" i="55" s="1"/>
  <c r="E34" i="55"/>
  <c r="E40" i="55" s="1"/>
  <c r="E41" i="55" s="1"/>
  <c r="D34" i="55"/>
  <c r="D40" i="55" s="1"/>
  <c r="D41" i="55" s="1"/>
  <c r="F32" i="55"/>
  <c r="F31" i="55"/>
  <c r="F30" i="55"/>
  <c r="F27" i="55"/>
  <c r="F26" i="55"/>
  <c r="F25" i="55"/>
  <c r="F24" i="55"/>
  <c r="F23" i="55"/>
  <c r="F22" i="55"/>
  <c r="F21" i="55"/>
  <c r="F20" i="55"/>
  <c r="F19" i="55"/>
  <c r="F18" i="55" s="1"/>
  <c r="E18" i="55"/>
  <c r="E29" i="55" s="1"/>
  <c r="D18" i="55"/>
  <c r="D29" i="55" s="1"/>
  <c r="F17" i="55"/>
  <c r="F16" i="55"/>
  <c r="F29" i="55" s="1"/>
  <c r="E15" i="55"/>
  <c r="D15" i="55"/>
  <c r="F14" i="55"/>
  <c r="F13" i="55"/>
  <c r="F12" i="55"/>
  <c r="F15" i="55" s="1"/>
  <c r="F11" i="55"/>
  <c r="E10" i="55"/>
  <c r="D10" i="55"/>
  <c r="D33" i="55" s="1"/>
  <c r="D42" i="55" s="1"/>
  <c r="F9" i="55"/>
  <c r="F8" i="55"/>
  <c r="F7" i="55"/>
  <c r="F6" i="55"/>
  <c r="E33" i="55" l="1"/>
  <c r="E42" i="55" s="1"/>
  <c r="F10" i="55"/>
  <c r="F33" i="55" s="1"/>
  <c r="F42" i="55" s="1"/>
  <c r="F59" i="54" l="1"/>
  <c r="E59" i="54"/>
  <c r="D59" i="54"/>
  <c r="F58" i="54"/>
  <c r="F57" i="54"/>
  <c r="F60" i="54" s="1"/>
  <c r="F56" i="54"/>
  <c r="E56" i="54"/>
  <c r="D56" i="54"/>
  <c r="F52" i="54"/>
  <c r="E52" i="54"/>
  <c r="E57" i="54" s="1"/>
  <c r="E60" i="54" s="1"/>
  <c r="D52" i="54"/>
  <c r="D57" i="54" s="1"/>
  <c r="D60" i="54" s="1"/>
  <c r="E40" i="54"/>
  <c r="E41" i="54" s="1"/>
  <c r="F37" i="54"/>
  <c r="E37" i="54"/>
  <c r="D37" i="54"/>
  <c r="F34" i="54"/>
  <c r="F40" i="54" s="1"/>
  <c r="F41" i="54" s="1"/>
  <c r="E34" i="54"/>
  <c r="D34" i="54"/>
  <c r="D40" i="54" s="1"/>
  <c r="D41" i="54" s="1"/>
  <c r="E29" i="54"/>
  <c r="E18" i="54"/>
  <c r="D18" i="54"/>
  <c r="D29" i="54" s="1"/>
  <c r="F16" i="54"/>
  <c r="F29" i="54" s="1"/>
  <c r="E15" i="54"/>
  <c r="D15" i="54"/>
  <c r="F14" i="54"/>
  <c r="F13" i="54"/>
  <c r="F12" i="54"/>
  <c r="F11" i="54"/>
  <c r="F15" i="54" s="1"/>
  <c r="E10" i="54"/>
  <c r="E33" i="54" s="1"/>
  <c r="D10" i="54"/>
  <c r="D33" i="54" s="1"/>
  <c r="D42" i="54" s="1"/>
  <c r="F9" i="54"/>
  <c r="F8" i="54"/>
  <c r="F10" i="54" s="1"/>
  <c r="F33" i="54" s="1"/>
  <c r="F7" i="54"/>
  <c r="F59" i="53"/>
  <c r="E59" i="53"/>
  <c r="D59" i="53"/>
  <c r="F58" i="53"/>
  <c r="F56" i="53"/>
  <c r="E56" i="53"/>
  <c r="D56" i="53"/>
  <c r="D52" i="53"/>
  <c r="D57" i="53" s="1"/>
  <c r="D60" i="53" s="1"/>
  <c r="F51" i="53"/>
  <c r="F50" i="53"/>
  <c r="F52" i="53" s="1"/>
  <c r="F57" i="53" s="1"/>
  <c r="F60" i="53" s="1"/>
  <c r="E49" i="53"/>
  <c r="E48" i="53"/>
  <c r="E47" i="53"/>
  <c r="E52" i="53" s="1"/>
  <c r="E57" i="53" s="1"/>
  <c r="E60" i="53" s="1"/>
  <c r="F38" i="53"/>
  <c r="F37" i="53"/>
  <c r="E37" i="53"/>
  <c r="D37" i="53"/>
  <c r="F36" i="53"/>
  <c r="F34" i="53"/>
  <c r="F40" i="53" s="1"/>
  <c r="F41" i="53" s="1"/>
  <c r="E34" i="53"/>
  <c r="E40" i="53" s="1"/>
  <c r="E41" i="53" s="1"/>
  <c r="D34" i="53"/>
  <c r="D40" i="53" s="1"/>
  <c r="D41" i="53" s="1"/>
  <c r="F32" i="53"/>
  <c r="F31" i="53"/>
  <c r="F30" i="53"/>
  <c r="F27" i="53"/>
  <c r="F26" i="53"/>
  <c r="F25" i="53"/>
  <c r="F24" i="53"/>
  <c r="F23" i="53"/>
  <c r="F22" i="53"/>
  <c r="F21" i="53"/>
  <c r="F20" i="53"/>
  <c r="F19" i="53"/>
  <c r="F18" i="53" s="1"/>
  <c r="E18" i="53"/>
  <c r="E29" i="53" s="1"/>
  <c r="E33" i="53" s="1"/>
  <c r="D18" i="53"/>
  <c r="D29" i="53" s="1"/>
  <c r="F17" i="53"/>
  <c r="F16" i="53"/>
  <c r="F29" i="53" s="1"/>
  <c r="E15" i="53"/>
  <c r="D15" i="53"/>
  <c r="F14" i="53"/>
  <c r="F13" i="53"/>
  <c r="F12" i="53"/>
  <c r="F11" i="53"/>
  <c r="F15" i="53" s="1"/>
  <c r="E10" i="53"/>
  <c r="D10" i="53"/>
  <c r="D33" i="53" s="1"/>
  <c r="D42" i="53" s="1"/>
  <c r="F8" i="53"/>
  <c r="F7" i="53"/>
  <c r="F6" i="53"/>
  <c r="F10" i="53" s="1"/>
  <c r="F33" i="53" s="1"/>
  <c r="F42" i="53" s="1"/>
  <c r="F112" i="52"/>
  <c r="E112" i="52"/>
  <c r="E110" i="52"/>
  <c r="D110" i="52"/>
  <c r="D112" i="52" s="1"/>
  <c r="F103" i="52"/>
  <c r="F102" i="52"/>
  <c r="F101" i="52"/>
  <c r="F100" i="52"/>
  <c r="F98" i="52" s="1"/>
  <c r="F105" i="52" s="1"/>
  <c r="F99" i="52"/>
  <c r="E98" i="52"/>
  <c r="D98" i="52"/>
  <c r="D105" i="52" s="1"/>
  <c r="E97" i="52"/>
  <c r="E105" i="52" s="1"/>
  <c r="F95" i="52"/>
  <c r="F106" i="52" s="1"/>
  <c r="F113" i="52" s="1"/>
  <c r="D95" i="52"/>
  <c r="F92" i="52"/>
  <c r="E92" i="52"/>
  <c r="D92" i="52"/>
  <c r="E86" i="52"/>
  <c r="E85" i="52" s="1"/>
  <c r="F85" i="52"/>
  <c r="D85" i="52"/>
  <c r="E83" i="52"/>
  <c r="F75" i="52"/>
  <c r="D75" i="52"/>
  <c r="F72" i="52"/>
  <c r="E72" i="52"/>
  <c r="E75" i="52" s="1"/>
  <c r="D72" i="52"/>
  <c r="F69" i="52"/>
  <c r="E69" i="52"/>
  <c r="D69" i="52"/>
  <c r="F66" i="52"/>
  <c r="E66" i="52"/>
  <c r="D66" i="52"/>
  <c r="F63" i="52"/>
  <c r="E63" i="52"/>
  <c r="D63" i="52"/>
  <c r="F57" i="52"/>
  <c r="D57" i="52"/>
  <c r="E56" i="52"/>
  <c r="E50" i="52"/>
  <c r="E57" i="52" s="1"/>
  <c r="E45" i="52"/>
  <c r="F44" i="52"/>
  <c r="F41" i="52"/>
  <c r="E41" i="52"/>
  <c r="D41" i="52"/>
  <c r="F39" i="52"/>
  <c r="D38" i="52"/>
  <c r="F37" i="52"/>
  <c r="E37" i="52"/>
  <c r="D37" i="52"/>
  <c r="D36" i="52"/>
  <c r="F35" i="52"/>
  <c r="F34" i="52"/>
  <c r="F33" i="52" s="1"/>
  <c r="E33" i="52"/>
  <c r="D33" i="52"/>
  <c r="D45" i="52" s="1"/>
  <c r="F32" i="52"/>
  <c r="F45" i="52" s="1"/>
  <c r="D31" i="52"/>
  <c r="F26" i="52"/>
  <c r="E26" i="52"/>
  <c r="F24" i="52"/>
  <c r="F31" i="52" s="1"/>
  <c r="E24" i="52"/>
  <c r="E31" i="52" s="1"/>
  <c r="D24" i="52"/>
  <c r="F21" i="52"/>
  <c r="D18" i="52"/>
  <c r="F17" i="52"/>
  <c r="D15" i="52"/>
  <c r="D14" i="52" s="1"/>
  <c r="F13" i="52"/>
  <c r="E12" i="52"/>
  <c r="E22" i="52" s="1"/>
  <c r="E70" i="52" s="1"/>
  <c r="F11" i="52"/>
  <c r="F12" i="52" s="1"/>
  <c r="F22" i="52" s="1"/>
  <c r="E10" i="52"/>
  <c r="D9" i="52"/>
  <c r="E8" i="52"/>
  <c r="D8" i="52"/>
  <c r="E7" i="52"/>
  <c r="D7" i="52"/>
  <c r="D6" i="52"/>
  <c r="G58" i="51"/>
  <c r="G59" i="51" s="1"/>
  <c r="H57" i="51"/>
  <c r="F56" i="51"/>
  <c r="F58" i="51" s="1"/>
  <c r="F59" i="51" s="1"/>
  <c r="H54" i="51"/>
  <c r="F54" i="51"/>
  <c r="F53" i="51"/>
  <c r="H53" i="51" s="1"/>
  <c r="H52" i="51"/>
  <c r="H51" i="51"/>
  <c r="H50" i="51" s="1"/>
  <c r="F51" i="51"/>
  <c r="G50" i="51"/>
  <c r="F50" i="51"/>
  <c r="H49" i="51"/>
  <c r="H48" i="51"/>
  <c r="H47" i="51"/>
  <c r="G47" i="51"/>
  <c r="F47" i="51"/>
  <c r="F46" i="51"/>
  <c r="H46" i="51" s="1"/>
  <c r="H45" i="51"/>
  <c r="F45" i="51"/>
  <c r="F44" i="51"/>
  <c r="H44" i="51" s="1"/>
  <c r="H43" i="51"/>
  <c r="F43" i="51"/>
  <c r="F42" i="51"/>
  <c r="H42" i="51" s="1"/>
  <c r="H41" i="51"/>
  <c r="H40" i="51" s="1"/>
  <c r="G40" i="51"/>
  <c r="G55" i="51" s="1"/>
  <c r="F40" i="51"/>
  <c r="F55" i="51" s="1"/>
  <c r="H39" i="51"/>
  <c r="H37" i="51"/>
  <c r="F36" i="51"/>
  <c r="H36" i="51" s="1"/>
  <c r="H35" i="51" s="1"/>
  <c r="G35" i="51"/>
  <c r="F35" i="51"/>
  <c r="F34" i="51"/>
  <c r="H34" i="51" s="1"/>
  <c r="F33" i="51"/>
  <c r="H33" i="51" s="1"/>
  <c r="F32" i="51"/>
  <c r="F30" i="51" s="1"/>
  <c r="F31" i="51"/>
  <c r="H31" i="51" s="1"/>
  <c r="G30" i="51"/>
  <c r="F29" i="51"/>
  <c r="H29" i="51" s="1"/>
  <c r="H28" i="51"/>
  <c r="F28" i="51"/>
  <c r="F27" i="51"/>
  <c r="H27" i="51" s="1"/>
  <c r="H26" i="51"/>
  <c r="F25" i="51"/>
  <c r="H25" i="51" s="1"/>
  <c r="F24" i="51"/>
  <c r="F21" i="51" s="1"/>
  <c r="F38" i="51" s="1"/>
  <c r="F23" i="51"/>
  <c r="H23" i="51" s="1"/>
  <c r="H22" i="51"/>
  <c r="G21" i="51"/>
  <c r="G38" i="51" s="1"/>
  <c r="F19" i="51"/>
  <c r="H19" i="51" s="1"/>
  <c r="H18" i="51"/>
  <c r="F17" i="51"/>
  <c r="H17" i="51" s="1"/>
  <c r="G16" i="51"/>
  <c r="G20" i="51" s="1"/>
  <c r="G60" i="51" s="1"/>
  <c r="H15" i="51"/>
  <c r="H14" i="51"/>
  <c r="H13" i="51"/>
  <c r="H12" i="51"/>
  <c r="F11" i="51"/>
  <c r="H11" i="51" s="1"/>
  <c r="H10" i="51"/>
  <c r="H9" i="51"/>
  <c r="H8" i="51"/>
  <c r="F7" i="51"/>
  <c r="H7" i="51" s="1"/>
  <c r="H6" i="51" s="1"/>
  <c r="G6" i="51"/>
  <c r="H5" i="51"/>
  <c r="F5" i="51"/>
  <c r="E23" i="50"/>
  <c r="E25" i="50" s="1"/>
  <c r="C23" i="50"/>
  <c r="C25" i="50" s="1"/>
  <c r="E16" i="50"/>
  <c r="E15" i="50"/>
  <c r="C15" i="50"/>
  <c r="C19" i="50" s="1"/>
  <c r="E14" i="50"/>
  <c r="E19" i="50" s="1"/>
  <c r="C14" i="50"/>
  <c r="E10" i="50"/>
  <c r="D10" i="50"/>
  <c r="C10" i="50"/>
  <c r="E9" i="50"/>
  <c r="D9" i="50"/>
  <c r="C9" i="50"/>
  <c r="E8" i="50"/>
  <c r="E13" i="50" s="1"/>
  <c r="E20" i="50" s="1"/>
  <c r="D8" i="50"/>
  <c r="C8" i="50"/>
  <c r="E7" i="50"/>
  <c r="D7" i="50"/>
  <c r="C7" i="50"/>
  <c r="E6" i="50"/>
  <c r="D6" i="50"/>
  <c r="C6" i="50"/>
  <c r="C13" i="50" s="1"/>
  <c r="C20" i="50" s="1"/>
  <c r="E4" i="50"/>
  <c r="F110" i="49"/>
  <c r="E110" i="49"/>
  <c r="D110" i="49"/>
  <c r="F109" i="49"/>
  <c r="E109" i="49"/>
  <c r="D109" i="49"/>
  <c r="F108" i="49"/>
  <c r="E108" i="49"/>
  <c r="E112" i="49" s="1"/>
  <c r="D108" i="49"/>
  <c r="E105" i="49"/>
  <c r="D105" i="49"/>
  <c r="E104" i="49"/>
  <c r="D104" i="49"/>
  <c r="E103" i="49"/>
  <c r="D103" i="49"/>
  <c r="E102" i="49"/>
  <c r="D102" i="49"/>
  <c r="E101" i="49"/>
  <c r="D101" i="49"/>
  <c r="E100" i="49"/>
  <c r="E99" i="49" s="1"/>
  <c r="D100" i="49"/>
  <c r="D99" i="49" s="1"/>
  <c r="F99" i="49"/>
  <c r="F98" i="49"/>
  <c r="E98" i="49"/>
  <c r="D98" i="49"/>
  <c r="F97" i="49"/>
  <c r="E97" i="49"/>
  <c r="D97" i="49"/>
  <c r="F95" i="49"/>
  <c r="E95" i="49"/>
  <c r="D95" i="49"/>
  <c r="F94" i="49"/>
  <c r="E94" i="49"/>
  <c r="D94" i="49"/>
  <c r="F93" i="49"/>
  <c r="E93" i="49"/>
  <c r="D93" i="49"/>
  <c r="F92" i="49"/>
  <c r="E92" i="49"/>
  <c r="D92" i="49"/>
  <c r="F91" i="49"/>
  <c r="E91" i="49"/>
  <c r="D91" i="49"/>
  <c r="F90" i="49"/>
  <c r="E90" i="49"/>
  <c r="D90" i="49"/>
  <c r="F89" i="49"/>
  <c r="E89" i="49"/>
  <c r="D89" i="49"/>
  <c r="F88" i="49"/>
  <c r="E88" i="49"/>
  <c r="D88" i="49"/>
  <c r="F87" i="49"/>
  <c r="F86" i="49" s="1"/>
  <c r="E87" i="49"/>
  <c r="D87" i="49"/>
  <c r="F85" i="49"/>
  <c r="E85" i="49"/>
  <c r="D85" i="49"/>
  <c r="F84" i="49"/>
  <c r="E84" i="49"/>
  <c r="D84" i="49"/>
  <c r="F83" i="49"/>
  <c r="E83" i="49"/>
  <c r="D83" i="49"/>
  <c r="F82" i="49"/>
  <c r="E82" i="49"/>
  <c r="D82" i="49"/>
  <c r="D80" i="49"/>
  <c r="F74" i="49"/>
  <c r="E74" i="49"/>
  <c r="D74" i="49"/>
  <c r="F73" i="49"/>
  <c r="E73" i="49"/>
  <c r="E72" i="49" s="1"/>
  <c r="E76" i="49" s="1"/>
  <c r="D73" i="49"/>
  <c r="F72" i="49"/>
  <c r="F76" i="49" s="1"/>
  <c r="F69" i="49"/>
  <c r="E69" i="49"/>
  <c r="D69" i="49"/>
  <c r="F65" i="49"/>
  <c r="E65" i="49"/>
  <c r="D65" i="49"/>
  <c r="D66" i="49" s="1"/>
  <c r="F64" i="49"/>
  <c r="F66" i="49" s="1"/>
  <c r="E64" i="49"/>
  <c r="F62" i="49"/>
  <c r="E62" i="49"/>
  <c r="D62" i="49"/>
  <c r="F61" i="49"/>
  <c r="E61" i="49"/>
  <c r="D61" i="49"/>
  <c r="F60" i="49"/>
  <c r="E60" i="49"/>
  <c r="D60" i="49"/>
  <c r="F59" i="49"/>
  <c r="E59" i="49"/>
  <c r="D59" i="49"/>
  <c r="F58" i="49"/>
  <c r="E58" i="49"/>
  <c r="D58" i="49"/>
  <c r="D63" i="49" s="1"/>
  <c r="F56" i="49"/>
  <c r="E56" i="49"/>
  <c r="D56" i="49"/>
  <c r="F55" i="49"/>
  <c r="E55" i="49"/>
  <c r="D55" i="49"/>
  <c r="F54" i="49"/>
  <c r="E54" i="49"/>
  <c r="D54" i="49"/>
  <c r="F53" i="49"/>
  <c r="E53" i="49"/>
  <c r="D53" i="49"/>
  <c r="F52" i="49"/>
  <c r="E52" i="49"/>
  <c r="D52" i="49"/>
  <c r="F51" i="49"/>
  <c r="E51" i="49"/>
  <c r="D51" i="49"/>
  <c r="F50" i="49"/>
  <c r="E50" i="49"/>
  <c r="D50" i="49"/>
  <c r="F49" i="49"/>
  <c r="E49" i="49"/>
  <c r="D49" i="49"/>
  <c r="F48" i="49"/>
  <c r="E48" i="49"/>
  <c r="D48" i="49"/>
  <c r="F47" i="49"/>
  <c r="E47" i="49"/>
  <c r="D47" i="49"/>
  <c r="F46" i="49"/>
  <c r="E46" i="49"/>
  <c r="D46" i="49"/>
  <c r="F44" i="49"/>
  <c r="E44" i="49"/>
  <c r="D44" i="49"/>
  <c r="F43" i="49"/>
  <c r="E43" i="49"/>
  <c r="E41" i="49" s="1"/>
  <c r="D43" i="49"/>
  <c r="F42" i="49"/>
  <c r="F41" i="49" s="1"/>
  <c r="E42" i="49"/>
  <c r="D42" i="49"/>
  <c r="D41" i="49" s="1"/>
  <c r="F40" i="49"/>
  <c r="E40" i="49"/>
  <c r="D40" i="49"/>
  <c r="F39" i="49"/>
  <c r="E39" i="49"/>
  <c r="E37" i="49" s="1"/>
  <c r="D39" i="49"/>
  <c r="F38" i="49"/>
  <c r="F37" i="49" s="1"/>
  <c r="E38" i="49"/>
  <c r="D38" i="49"/>
  <c r="D37" i="49" s="1"/>
  <c r="F36" i="49"/>
  <c r="E36" i="49"/>
  <c r="D36" i="49"/>
  <c r="F35" i="49"/>
  <c r="E35" i="49"/>
  <c r="E33" i="49" s="1"/>
  <c r="D35" i="49"/>
  <c r="F34" i="49"/>
  <c r="F33" i="49" s="1"/>
  <c r="E34" i="49"/>
  <c r="D34" i="49"/>
  <c r="F32" i="49"/>
  <c r="F45" i="49" s="1"/>
  <c r="E32" i="49"/>
  <c r="D32" i="49"/>
  <c r="F30" i="49"/>
  <c r="E30" i="49"/>
  <c r="D30" i="49"/>
  <c r="F29" i="49"/>
  <c r="E29" i="49"/>
  <c r="D29" i="49"/>
  <c r="F28" i="49"/>
  <c r="E28" i="49"/>
  <c r="D28" i="49"/>
  <c r="F27" i="49"/>
  <c r="E27" i="49"/>
  <c r="D27" i="49"/>
  <c r="F26" i="49"/>
  <c r="E26" i="49"/>
  <c r="D26" i="49"/>
  <c r="F25" i="49"/>
  <c r="E25" i="49"/>
  <c r="D25" i="49"/>
  <c r="D24" i="49" s="1"/>
  <c r="D31" i="49" s="1"/>
  <c r="F23" i="49"/>
  <c r="E23" i="49"/>
  <c r="E21" i="49"/>
  <c r="D21" i="49"/>
  <c r="F20" i="49"/>
  <c r="E20" i="49"/>
  <c r="D20" i="49"/>
  <c r="F19" i="49"/>
  <c r="E19" i="49"/>
  <c r="D19" i="49"/>
  <c r="F18" i="49"/>
  <c r="E18" i="49"/>
  <c r="D18" i="49"/>
  <c r="F17" i="49"/>
  <c r="E17" i="49"/>
  <c r="D17" i="49"/>
  <c r="F16" i="49"/>
  <c r="E16" i="49"/>
  <c r="D16" i="49"/>
  <c r="E15" i="49"/>
  <c r="D15" i="49"/>
  <c r="F14" i="49"/>
  <c r="F13" i="49"/>
  <c r="E13" i="49"/>
  <c r="D13" i="49"/>
  <c r="F11" i="49"/>
  <c r="E11" i="49"/>
  <c r="D11" i="49"/>
  <c r="F10" i="49"/>
  <c r="E10" i="49"/>
  <c r="D10" i="49"/>
  <c r="F9" i="49"/>
  <c r="E9" i="49"/>
  <c r="D9" i="49"/>
  <c r="F8" i="49"/>
  <c r="E8" i="49"/>
  <c r="D8" i="49"/>
  <c r="F7" i="49"/>
  <c r="E7" i="49"/>
  <c r="D7" i="49"/>
  <c r="F6" i="49"/>
  <c r="E6" i="49"/>
  <c r="D6" i="49"/>
  <c r="D12" i="49" s="1"/>
  <c r="E45" i="49" l="1"/>
  <c r="E24" i="49"/>
  <c r="E31" i="49" s="1"/>
  <c r="F24" i="49"/>
  <c r="F57" i="49"/>
  <c r="E57" i="49"/>
  <c r="E63" i="49"/>
  <c r="D72" i="49"/>
  <c r="D76" i="49" s="1"/>
  <c r="D86" i="49"/>
  <c r="E86" i="49"/>
  <c r="D106" i="49"/>
  <c r="D112" i="49"/>
  <c r="D12" i="52"/>
  <c r="D22" i="52" s="1"/>
  <c r="D70" i="52" s="1"/>
  <c r="D14" i="49"/>
  <c r="D22" i="49" s="1"/>
  <c r="E14" i="49"/>
  <c r="D33" i="49"/>
  <c r="D45" i="49" s="1"/>
  <c r="D70" i="49" s="1"/>
  <c r="F63" i="49"/>
  <c r="E106" i="49"/>
  <c r="F12" i="49"/>
  <c r="F22" i="49" s="1"/>
  <c r="E12" i="49"/>
  <c r="E22" i="49" s="1"/>
  <c r="D57" i="49"/>
  <c r="E66" i="49"/>
  <c r="F96" i="49"/>
  <c r="F107" i="49" s="1"/>
  <c r="F113" i="49" s="1"/>
  <c r="D96" i="49"/>
  <c r="D107" i="49" s="1"/>
  <c r="D113" i="49" s="1"/>
  <c r="F106" i="49"/>
  <c r="F112" i="49"/>
  <c r="F42" i="54"/>
  <c r="E42" i="54"/>
  <c r="E42" i="53"/>
  <c r="D106" i="52"/>
  <c r="D113" i="52" s="1"/>
  <c r="E76" i="52"/>
  <c r="E95" i="52"/>
  <c r="E106" i="52" s="1"/>
  <c r="E113" i="52" s="1"/>
  <c r="D76" i="52"/>
  <c r="F70" i="52"/>
  <c r="F76" i="52" s="1"/>
  <c r="F16" i="51"/>
  <c r="F20" i="51" s="1"/>
  <c r="F60" i="51" s="1"/>
  <c r="H55" i="51"/>
  <c r="H16" i="51"/>
  <c r="H20" i="51" s="1"/>
  <c r="F6" i="51"/>
  <c r="H24" i="51"/>
  <c r="H21" i="51" s="1"/>
  <c r="H32" i="51"/>
  <c r="H30" i="51" s="1"/>
  <c r="H56" i="51"/>
  <c r="H58" i="51" s="1"/>
  <c r="H59" i="51" s="1"/>
  <c r="E26" i="50"/>
  <c r="C26" i="50"/>
  <c r="D119" i="49"/>
  <c r="F31" i="49"/>
  <c r="E96" i="49"/>
  <c r="E107" i="49" s="1"/>
  <c r="E113" i="49" s="1"/>
  <c r="E70" i="49" l="1"/>
  <c r="E77" i="49" s="1"/>
  <c r="F70" i="49"/>
  <c r="F77" i="49" s="1"/>
  <c r="E115" i="52"/>
  <c r="D115" i="52"/>
  <c r="H38" i="51"/>
  <c r="H60" i="51"/>
  <c r="D118" i="49"/>
  <c r="D77" i="49"/>
  <c r="C11" i="48" l="1"/>
  <c r="F16" i="47" l="1"/>
  <c r="E16" i="47"/>
  <c r="D16" i="47"/>
  <c r="C16" i="47"/>
  <c r="G16" i="47" s="1"/>
  <c r="G15" i="47"/>
  <c r="G14" i="47"/>
  <c r="G13" i="47"/>
  <c r="G12" i="47"/>
  <c r="G11" i="47"/>
  <c r="G10" i="47"/>
  <c r="G8" i="47"/>
  <c r="C27" i="13" l="1"/>
  <c r="C8" i="34"/>
  <c r="C59" i="13"/>
  <c r="C26" i="34" s="1"/>
  <c r="C7" i="34"/>
  <c r="C123" i="13"/>
  <c r="C25" i="34" s="1"/>
  <c r="O21" i="23"/>
  <c r="O8" i="23"/>
  <c r="O9" i="23"/>
  <c r="O10" i="23"/>
  <c r="F28" i="28"/>
  <c r="E28" i="28"/>
  <c r="D23" i="28"/>
  <c r="E25" i="28"/>
  <c r="F25" i="28" s="1"/>
  <c r="E24" i="28"/>
  <c r="F24" i="28" s="1"/>
  <c r="F23" i="28" s="1"/>
  <c r="D7" i="28"/>
  <c r="E7" i="28" s="1"/>
  <c r="F7" i="28" s="1"/>
  <c r="F14" i="28" s="1"/>
  <c r="F10" i="28"/>
  <c r="E10" i="28"/>
  <c r="E9" i="28"/>
  <c r="F9" i="28" s="1"/>
  <c r="F8" i="28"/>
  <c r="E8" i="28"/>
  <c r="E7" i="29"/>
  <c r="J7" i="29" s="1"/>
  <c r="E23" i="28" l="1"/>
  <c r="C24" i="34"/>
  <c r="L28" i="40" l="1"/>
  <c r="N28" i="40" l="1"/>
  <c r="N26" i="40"/>
  <c r="C126" i="13"/>
  <c r="B126" i="13"/>
  <c r="F126" i="13" s="1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F117" i="13" l="1"/>
  <c r="F108" i="13"/>
  <c r="F125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C77" i="13"/>
  <c r="F77" i="13" s="1"/>
  <c r="E70" i="13"/>
  <c r="F95" i="13" l="1"/>
  <c r="F86" i="13"/>
  <c r="F94" i="13"/>
  <c r="C62" i="13" l="1"/>
  <c r="B62" i="13"/>
  <c r="F62" i="13" s="1"/>
  <c r="E61" i="13"/>
  <c r="D61" i="13"/>
  <c r="C61" i="13"/>
  <c r="B61" i="13"/>
  <c r="F60" i="13"/>
  <c r="F59" i="13"/>
  <c r="F58" i="13"/>
  <c r="F57" i="13"/>
  <c r="F56" i="13"/>
  <c r="F55" i="13"/>
  <c r="F54" i="13"/>
  <c r="E53" i="13"/>
  <c r="D53" i="13"/>
  <c r="C53" i="13"/>
  <c r="F51" i="13"/>
  <c r="F50" i="13"/>
  <c r="F49" i="13"/>
  <c r="F48" i="13"/>
  <c r="F47" i="13"/>
  <c r="F46" i="13"/>
  <c r="F45" i="13"/>
  <c r="C44" i="13"/>
  <c r="F44" i="13" s="1"/>
  <c r="E37" i="13"/>
  <c r="F53" i="13" l="1"/>
  <c r="F61" i="13"/>
  <c r="C31" i="13"/>
  <c r="B31" i="13"/>
  <c r="F31" i="13" s="1"/>
  <c r="E30" i="13"/>
  <c r="D30" i="13"/>
  <c r="C30" i="13"/>
  <c r="B30" i="13"/>
  <c r="F29" i="13"/>
  <c r="F28" i="13"/>
  <c r="D27" i="13"/>
  <c r="D22" i="13" s="1"/>
  <c r="C26" i="13"/>
  <c r="F26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E6" i="13"/>
  <c r="F13" i="13" l="1"/>
  <c r="F30" i="13"/>
  <c r="C22" i="13"/>
  <c r="F27" i="13"/>
  <c r="F22" i="13" s="1"/>
  <c r="D8" i="11" l="1"/>
  <c r="H8" i="11"/>
  <c r="J8" i="11"/>
  <c r="J6" i="11"/>
  <c r="J9" i="11" s="1"/>
  <c r="J7" i="11"/>
  <c r="B7" i="11"/>
  <c r="H7" i="11"/>
  <c r="H6" i="11"/>
  <c r="L6" i="11" l="1"/>
  <c r="K6" i="11" s="1"/>
  <c r="L8" i="11"/>
  <c r="K8" i="11" s="1"/>
  <c r="I6" i="11" l="1"/>
  <c r="E12" i="9" l="1"/>
  <c r="K27" i="40" l="1"/>
  <c r="K24" i="40"/>
  <c r="K49" i="40"/>
  <c r="K50" i="40"/>
  <c r="K51" i="40"/>
  <c r="K48" i="40"/>
  <c r="K52" i="40" s="1"/>
  <c r="K42" i="40"/>
  <c r="K44" i="40"/>
  <c r="K45" i="40"/>
  <c r="K40" i="40"/>
  <c r="K15" i="40"/>
  <c r="K16" i="40"/>
  <c r="K18" i="40"/>
  <c r="K19" i="40"/>
  <c r="K20" i="40"/>
  <c r="K21" i="40"/>
  <c r="K22" i="40"/>
  <c r="K23" i="40"/>
  <c r="K29" i="40"/>
  <c r="K30" i="40"/>
  <c r="K31" i="40"/>
  <c r="K32" i="40"/>
  <c r="N14" i="40"/>
  <c r="L14" i="39"/>
  <c r="K14" i="39" s="1"/>
  <c r="L20" i="39" l="1"/>
  <c r="K20" i="39" s="1"/>
  <c r="L10" i="39"/>
  <c r="K17" i="39" l="1"/>
  <c r="K10" i="39" s="1"/>
  <c r="K18" i="39" l="1"/>
  <c r="K15" i="39"/>
  <c r="K22" i="39"/>
  <c r="K21" i="39"/>
  <c r="C10" i="39"/>
  <c r="K40" i="44"/>
  <c r="K41" i="44"/>
  <c r="K42" i="44"/>
  <c r="K43" i="44"/>
  <c r="K44" i="44"/>
  <c r="K45" i="44"/>
  <c r="J20" i="41"/>
  <c r="K49" i="46"/>
  <c r="K50" i="46"/>
  <c r="K51" i="46"/>
  <c r="K48" i="46"/>
  <c r="K41" i="46"/>
  <c r="K42" i="46"/>
  <c r="K43" i="46"/>
  <c r="K44" i="46"/>
  <c r="K45" i="46"/>
  <c r="K40" i="42" l="1"/>
  <c r="K41" i="42"/>
  <c r="K42" i="42"/>
  <c r="K43" i="42"/>
  <c r="K44" i="42"/>
  <c r="K45" i="42"/>
  <c r="K18" i="42"/>
  <c r="K19" i="42"/>
  <c r="K20" i="42"/>
  <c r="K21" i="42"/>
  <c r="K22" i="42"/>
  <c r="K24" i="42"/>
  <c r="M18" i="42"/>
  <c r="J20" i="45" l="1"/>
  <c r="J18" i="45"/>
  <c r="J20" i="43"/>
  <c r="J10" i="43"/>
  <c r="J6" i="29" l="1"/>
  <c r="K46" i="46" l="1"/>
  <c r="K32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13" i="46"/>
  <c r="J13" i="45"/>
  <c r="J22" i="45"/>
  <c r="J21" i="45"/>
  <c r="J14" i="45"/>
  <c r="J15" i="45"/>
  <c r="J10" i="45"/>
  <c r="K46" i="42"/>
  <c r="K47" i="42" s="1"/>
  <c r="K15" i="42"/>
  <c r="K25" i="42"/>
  <c r="K26" i="42"/>
  <c r="K27" i="42"/>
  <c r="K29" i="42"/>
  <c r="K30" i="42"/>
  <c r="K31" i="42"/>
  <c r="K32" i="42"/>
  <c r="K13" i="42"/>
  <c r="J21" i="41"/>
  <c r="J22" i="41"/>
  <c r="J14" i="41"/>
  <c r="J15" i="41"/>
  <c r="J10" i="41"/>
  <c r="K46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J22" i="43"/>
  <c r="J21" i="43"/>
  <c r="J14" i="43"/>
  <c r="J15" i="43"/>
  <c r="E11" i="15" l="1"/>
  <c r="M14" i="40"/>
  <c r="K14" i="40" s="1"/>
  <c r="M13" i="44"/>
  <c r="K13" i="44" s="1"/>
  <c r="M28" i="42"/>
  <c r="K28" i="42" s="1"/>
  <c r="M17" i="42"/>
  <c r="K17" i="42" s="1"/>
  <c r="M16" i="42"/>
  <c r="K16" i="42" s="1"/>
  <c r="M23" i="42"/>
  <c r="K23" i="42" s="1"/>
  <c r="M14" i="42"/>
  <c r="K14" i="42" s="1"/>
  <c r="M28" i="40" l="1"/>
  <c r="K28" i="40" s="1"/>
  <c r="M26" i="40"/>
  <c r="K26" i="40" s="1"/>
  <c r="M25" i="40"/>
  <c r="K25" i="40" s="1"/>
  <c r="M17" i="40"/>
  <c r="K17" i="40" s="1"/>
  <c r="M13" i="40"/>
  <c r="K13" i="40" s="1"/>
  <c r="M46" i="40"/>
  <c r="K46" i="40" s="1"/>
  <c r="M43" i="40"/>
  <c r="K43" i="40" s="1"/>
  <c r="M41" i="40"/>
  <c r="K41" i="40" s="1"/>
  <c r="L8" i="16"/>
  <c r="K47" i="40" l="1"/>
  <c r="K52" i="46" l="1"/>
  <c r="J52" i="46"/>
  <c r="I52" i="46"/>
  <c r="H52" i="46"/>
  <c r="G52" i="46"/>
  <c r="F52" i="46"/>
  <c r="E52" i="46"/>
  <c r="D51" i="46"/>
  <c r="D50" i="46"/>
  <c r="D49" i="46"/>
  <c r="D48" i="46"/>
  <c r="K47" i="46"/>
  <c r="J47" i="46"/>
  <c r="I47" i="46"/>
  <c r="H47" i="46"/>
  <c r="G47" i="46"/>
  <c r="F47" i="46"/>
  <c r="E47" i="46"/>
  <c r="D46" i="46"/>
  <c r="D45" i="46"/>
  <c r="D44" i="46"/>
  <c r="D43" i="46"/>
  <c r="D42" i="46"/>
  <c r="D41" i="46"/>
  <c r="D40" i="46"/>
  <c r="K33" i="46"/>
  <c r="J33" i="46"/>
  <c r="I33" i="46"/>
  <c r="H33" i="46"/>
  <c r="G33" i="46"/>
  <c r="F33" i="46"/>
  <c r="E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J24" i="45"/>
  <c r="I24" i="45"/>
  <c r="H24" i="45"/>
  <c r="G24" i="45"/>
  <c r="F24" i="45"/>
  <c r="E24" i="45"/>
  <c r="D24" i="45"/>
  <c r="C23" i="45"/>
  <c r="C22" i="45"/>
  <c r="C21" i="45"/>
  <c r="C20" i="45"/>
  <c r="J19" i="45"/>
  <c r="I19" i="45"/>
  <c r="H19" i="45"/>
  <c r="G19" i="45"/>
  <c r="F19" i="45"/>
  <c r="E19" i="45"/>
  <c r="D19" i="45"/>
  <c r="C18" i="45"/>
  <c r="C17" i="45"/>
  <c r="C16" i="45"/>
  <c r="C15" i="45"/>
  <c r="C14" i="45"/>
  <c r="C13" i="45"/>
  <c r="C12" i="45"/>
  <c r="C11" i="45"/>
  <c r="C10" i="45"/>
  <c r="K52" i="44"/>
  <c r="J52" i="44"/>
  <c r="I52" i="44"/>
  <c r="H52" i="44"/>
  <c r="G52" i="44"/>
  <c r="F52" i="44"/>
  <c r="E52" i="44"/>
  <c r="D51" i="44"/>
  <c r="D50" i="44"/>
  <c r="D49" i="44"/>
  <c r="D48" i="44"/>
  <c r="K47" i="44"/>
  <c r="J47" i="44"/>
  <c r="I47" i="44"/>
  <c r="H47" i="44"/>
  <c r="G47" i="44"/>
  <c r="F47" i="44"/>
  <c r="E47" i="44"/>
  <c r="D46" i="44"/>
  <c r="D45" i="44"/>
  <c r="D44" i="44"/>
  <c r="D43" i="44"/>
  <c r="D42" i="44"/>
  <c r="D41" i="44"/>
  <c r="D40" i="44"/>
  <c r="K33" i="44"/>
  <c r="J33" i="44"/>
  <c r="I33" i="44"/>
  <c r="H33" i="44"/>
  <c r="G33" i="44"/>
  <c r="F33" i="44"/>
  <c r="E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J24" i="43"/>
  <c r="I24" i="43"/>
  <c r="H24" i="43"/>
  <c r="G24" i="43"/>
  <c r="F24" i="43"/>
  <c r="E24" i="43"/>
  <c r="D24" i="43"/>
  <c r="C23" i="43"/>
  <c r="C22" i="43"/>
  <c r="C21" i="43"/>
  <c r="C20" i="43"/>
  <c r="J19" i="43"/>
  <c r="I19" i="43"/>
  <c r="H19" i="43"/>
  <c r="G19" i="43"/>
  <c r="F19" i="43"/>
  <c r="E19" i="43"/>
  <c r="D19" i="43"/>
  <c r="C18" i="43"/>
  <c r="C17" i="43"/>
  <c r="C16" i="43"/>
  <c r="C15" i="43"/>
  <c r="C14" i="43"/>
  <c r="C13" i="43"/>
  <c r="C12" i="43"/>
  <c r="C11" i="43"/>
  <c r="C10" i="43"/>
  <c r="K52" i="42"/>
  <c r="J52" i="42"/>
  <c r="I52" i="42"/>
  <c r="H52" i="42"/>
  <c r="G52" i="42"/>
  <c r="F52" i="42"/>
  <c r="E52" i="42"/>
  <c r="D51" i="42"/>
  <c r="D50" i="42"/>
  <c r="D49" i="42"/>
  <c r="D48" i="42"/>
  <c r="J47" i="42"/>
  <c r="I47" i="42"/>
  <c r="H47" i="42"/>
  <c r="G47" i="42"/>
  <c r="F47" i="42"/>
  <c r="E47" i="42"/>
  <c r="D46" i="42"/>
  <c r="D45" i="42"/>
  <c r="D44" i="42"/>
  <c r="D43" i="42"/>
  <c r="D42" i="42"/>
  <c r="D41" i="42"/>
  <c r="D40" i="42"/>
  <c r="K33" i="42"/>
  <c r="J33" i="42"/>
  <c r="I33" i="42"/>
  <c r="H33" i="42"/>
  <c r="G33" i="42"/>
  <c r="F33" i="42"/>
  <c r="E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33" i="42" s="1"/>
  <c r="D13" i="42"/>
  <c r="J24" i="41"/>
  <c r="I24" i="41"/>
  <c r="H24" i="41"/>
  <c r="G24" i="41"/>
  <c r="F24" i="41"/>
  <c r="E24" i="41"/>
  <c r="D24" i="41"/>
  <c r="C23" i="41"/>
  <c r="C22" i="41"/>
  <c r="C21" i="41"/>
  <c r="C20" i="41"/>
  <c r="J19" i="41"/>
  <c r="I19" i="41"/>
  <c r="H19" i="41"/>
  <c r="G19" i="41"/>
  <c r="F19" i="41"/>
  <c r="E19" i="41"/>
  <c r="D19" i="41"/>
  <c r="C18" i="41"/>
  <c r="C17" i="41"/>
  <c r="C16" i="41"/>
  <c r="C15" i="41"/>
  <c r="C14" i="41"/>
  <c r="C13" i="41"/>
  <c r="C12" i="41"/>
  <c r="C11" i="41"/>
  <c r="C10" i="41"/>
  <c r="E52" i="40"/>
  <c r="F52" i="40"/>
  <c r="G52" i="40"/>
  <c r="H52" i="40"/>
  <c r="I52" i="40"/>
  <c r="J52" i="40"/>
  <c r="E47" i="40"/>
  <c r="F47" i="40"/>
  <c r="G47" i="40"/>
  <c r="H47" i="40"/>
  <c r="I47" i="40"/>
  <c r="J47" i="40"/>
  <c r="D41" i="40"/>
  <c r="D42" i="40"/>
  <c r="D43" i="40"/>
  <c r="D44" i="40"/>
  <c r="D45" i="40"/>
  <c r="D46" i="40"/>
  <c r="D48" i="40"/>
  <c r="D49" i="40"/>
  <c r="D50" i="40"/>
  <c r="D51" i="40"/>
  <c r="D40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K33" i="40"/>
  <c r="J33" i="40"/>
  <c r="I33" i="40"/>
  <c r="H33" i="40"/>
  <c r="G33" i="40"/>
  <c r="F33" i="40"/>
  <c r="E33" i="40"/>
  <c r="D32" i="40"/>
  <c r="D31" i="40"/>
  <c r="D30" i="40"/>
  <c r="D29" i="40"/>
  <c r="D28" i="40"/>
  <c r="D27" i="40"/>
  <c r="D13" i="40"/>
  <c r="D47" i="42" l="1"/>
  <c r="D47" i="40"/>
  <c r="D52" i="40"/>
  <c r="D52" i="42"/>
  <c r="D52" i="44"/>
  <c r="D47" i="46"/>
  <c r="D52" i="46"/>
  <c r="D33" i="46"/>
  <c r="C24" i="45"/>
  <c r="C19" i="45"/>
  <c r="C24" i="41"/>
  <c r="C19" i="41"/>
  <c r="D47" i="44"/>
  <c r="D33" i="44"/>
  <c r="C24" i="43"/>
  <c r="C19" i="43"/>
  <c r="D33" i="40"/>
  <c r="C22" i="39" l="1"/>
  <c r="D24" i="39"/>
  <c r="E24" i="39"/>
  <c r="F24" i="39"/>
  <c r="G24" i="39"/>
  <c r="H24" i="39"/>
  <c r="I24" i="39"/>
  <c r="K24" i="39"/>
  <c r="C21" i="39"/>
  <c r="C23" i="39"/>
  <c r="C20" i="39"/>
  <c r="D19" i="39"/>
  <c r="E19" i="39"/>
  <c r="F19" i="39"/>
  <c r="G19" i="39"/>
  <c r="H19" i="39"/>
  <c r="I19" i="39"/>
  <c r="K19" i="39"/>
  <c r="C11" i="39"/>
  <c r="C12" i="39"/>
  <c r="C13" i="39"/>
  <c r="C14" i="39"/>
  <c r="C15" i="39"/>
  <c r="C16" i="39"/>
  <c r="C17" i="39"/>
  <c r="C18" i="39"/>
  <c r="C19" i="39" l="1"/>
  <c r="C24" i="39"/>
  <c r="K8" i="37" l="1"/>
  <c r="J8" i="37"/>
  <c r="I8" i="37"/>
  <c r="H8" i="37"/>
  <c r="G8" i="37"/>
  <c r="F8" i="37"/>
  <c r="E8" i="37"/>
  <c r="D8" i="37"/>
  <c r="L7" i="37"/>
  <c r="L6" i="37"/>
  <c r="L5" i="37"/>
  <c r="L8" i="38"/>
  <c r="K8" i="38"/>
  <c r="J8" i="38"/>
  <c r="I8" i="38"/>
  <c r="H8" i="38"/>
  <c r="G8" i="38"/>
  <c r="F8" i="38"/>
  <c r="E8" i="38"/>
  <c r="D8" i="38"/>
  <c r="M7" i="38"/>
  <c r="M6" i="38"/>
  <c r="M5" i="38"/>
  <c r="M8" i="38" l="1"/>
  <c r="L8" i="37"/>
  <c r="H8" i="16"/>
  <c r="J10" i="11" l="1"/>
  <c r="M16" i="15"/>
  <c r="M17" i="15"/>
  <c r="M18" i="15"/>
  <c r="M20" i="15"/>
  <c r="M21" i="15"/>
  <c r="M15" i="15"/>
  <c r="M14" i="15"/>
  <c r="M5" i="16" l="1"/>
  <c r="M6" i="16"/>
  <c r="M7" i="16"/>
  <c r="M10" i="16"/>
  <c r="M12" i="16"/>
  <c r="M13" i="16"/>
  <c r="M14" i="16"/>
  <c r="M15" i="16"/>
  <c r="M16" i="16"/>
  <c r="M17" i="16"/>
  <c r="M18" i="16"/>
  <c r="M19" i="16"/>
  <c r="M20" i="16"/>
  <c r="M21" i="16"/>
  <c r="M22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8" i="16"/>
  <c r="M49" i="16"/>
  <c r="M23" i="16"/>
  <c r="G50" i="16" l="1"/>
  <c r="M11" i="16"/>
  <c r="M8" i="16" l="1"/>
  <c r="E50" i="16" l="1"/>
  <c r="F50" i="16"/>
  <c r="I50" i="16"/>
  <c r="J50" i="16"/>
  <c r="K50" i="16"/>
  <c r="D50" i="16"/>
  <c r="M6" i="19" l="1"/>
  <c r="M7" i="19"/>
  <c r="M8" i="19"/>
  <c r="M9" i="19"/>
  <c r="E10" i="19" l="1"/>
  <c r="F10" i="19"/>
  <c r="G10" i="19"/>
  <c r="H10" i="19"/>
  <c r="I10" i="19"/>
  <c r="J10" i="19"/>
  <c r="K10" i="19"/>
  <c r="L10" i="19"/>
  <c r="D10" i="19"/>
  <c r="H25" i="15" l="1"/>
  <c r="J25" i="15"/>
  <c r="K25" i="15"/>
  <c r="F13" i="15"/>
  <c r="M13" i="15" s="1"/>
  <c r="L25" i="15"/>
  <c r="M4" i="15"/>
  <c r="M12" i="15"/>
  <c r="F25" i="15" l="1"/>
  <c r="M11" i="15" l="1"/>
  <c r="M6" i="20" l="1"/>
  <c r="E8" i="22" l="1"/>
  <c r="G8" i="22"/>
  <c r="H8" i="22"/>
  <c r="I8" i="22"/>
  <c r="J8" i="22"/>
  <c r="E27" i="28" l="1"/>
  <c r="E29" i="28" s="1"/>
  <c r="C28" i="34"/>
  <c r="C8" i="30" l="1"/>
  <c r="E24" i="15"/>
  <c r="M24" i="15" s="1"/>
  <c r="E19" i="15"/>
  <c r="M19" i="15" s="1"/>
  <c r="E8" i="29"/>
  <c r="F8" i="29"/>
  <c r="G8" i="29"/>
  <c r="I8" i="29"/>
  <c r="D8" i="29"/>
  <c r="C22" i="23" l="1"/>
  <c r="O22" i="23" s="1"/>
  <c r="J5" i="29"/>
  <c r="J4" i="29"/>
  <c r="J8" i="29" l="1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29" i="34" l="1"/>
  <c r="H9" i="16" l="1"/>
  <c r="H50" i="16" l="1"/>
  <c r="E14" i="9" l="1"/>
  <c r="C18" i="23" l="1"/>
  <c r="E24" i="31"/>
  <c r="D24" i="31"/>
  <c r="C24" i="31"/>
  <c r="E18" i="31"/>
  <c r="D18" i="31"/>
  <c r="C18" i="31"/>
  <c r="E16" i="31"/>
  <c r="D16" i="31"/>
  <c r="C16" i="31"/>
  <c r="D18" i="23" l="1"/>
  <c r="E18" i="23" s="1"/>
  <c r="F18" i="23" s="1"/>
  <c r="C25" i="31"/>
  <c r="E25" i="31"/>
  <c r="D25" i="31"/>
  <c r="G18" i="23" l="1"/>
  <c r="O18" i="23" s="1"/>
  <c r="H18" i="23"/>
  <c r="I18" i="23" s="1"/>
  <c r="J18" i="23" s="1"/>
  <c r="K18" i="23" s="1"/>
  <c r="L18" i="23" s="1"/>
  <c r="M18" i="23" s="1"/>
  <c r="N18" i="23" s="1"/>
  <c r="K6" i="21" l="1"/>
  <c r="L6" i="21" s="1"/>
  <c r="F27" i="28" l="1"/>
  <c r="F29" i="28" s="1"/>
  <c r="D27" i="28"/>
  <c r="D29" i="28" s="1"/>
  <c r="I23" i="28" s="1"/>
  <c r="F16" i="28"/>
  <c r="E14" i="28"/>
  <c r="E16" i="28" s="1"/>
  <c r="J23" i="28" s="1"/>
  <c r="D14" i="28"/>
  <c r="D16" i="28" s="1"/>
  <c r="C14" i="25"/>
  <c r="C8" i="25"/>
  <c r="K23" i="28" l="1"/>
  <c r="L9" i="16"/>
  <c r="M9" i="16" s="1"/>
  <c r="L5" i="22"/>
  <c r="K8" i="22"/>
  <c r="C15" i="25"/>
  <c r="H8" i="24"/>
  <c r="G8" i="24"/>
  <c r="F8" i="24"/>
  <c r="E8" i="24"/>
  <c r="B8" i="24"/>
  <c r="I8" i="24"/>
  <c r="D8" i="24"/>
  <c r="L47" i="16" s="1"/>
  <c r="J7" i="21" l="1"/>
  <c r="I7" i="21"/>
  <c r="H7" i="21"/>
  <c r="G7" i="21"/>
  <c r="E7" i="21"/>
  <c r="D7" i="21"/>
  <c r="M47" i="16" l="1"/>
  <c r="L50" i="16"/>
  <c r="L8" i="20"/>
  <c r="K8" i="20"/>
  <c r="J8" i="20"/>
  <c r="I8" i="20"/>
  <c r="H8" i="20"/>
  <c r="G8" i="20"/>
  <c r="F8" i="20"/>
  <c r="E8" i="20"/>
  <c r="D8" i="20"/>
  <c r="M7" i="20"/>
  <c r="M5" i="20"/>
  <c r="M5" i="19"/>
  <c r="D7" i="11"/>
  <c r="D9" i="11" s="1"/>
  <c r="M4" i="16"/>
  <c r="I6" i="15"/>
  <c r="B9" i="11"/>
  <c r="C17" i="23" l="1"/>
  <c r="C19" i="23"/>
  <c r="C20" i="23"/>
  <c r="C25" i="28"/>
  <c r="C11" i="23"/>
  <c r="O11" i="23" s="1"/>
  <c r="C14" i="23"/>
  <c r="M6" i="15"/>
  <c r="I25" i="15"/>
  <c r="M50" i="16"/>
  <c r="M10" i="19"/>
  <c r="M8" i="20"/>
  <c r="C4" i="30"/>
  <c r="B11" i="11"/>
  <c r="H9" i="11"/>
  <c r="F7" i="11" l="1"/>
  <c r="D19" i="23"/>
  <c r="E19" i="23" s="1"/>
  <c r="F19" i="23" s="1"/>
  <c r="C16" i="23"/>
  <c r="D20" i="23"/>
  <c r="E20" i="23" s="1"/>
  <c r="F20" i="23" s="1"/>
  <c r="G20" i="23" s="1"/>
  <c r="H20" i="23" s="1"/>
  <c r="I20" i="23" s="1"/>
  <c r="J20" i="23" s="1"/>
  <c r="K20" i="23" s="1"/>
  <c r="L20" i="23" s="1"/>
  <c r="M20" i="23" s="1"/>
  <c r="N20" i="23" s="1"/>
  <c r="O20" i="23"/>
  <c r="D17" i="23"/>
  <c r="E17" i="23" s="1"/>
  <c r="F17" i="23" s="1"/>
  <c r="G17" i="23" s="1"/>
  <c r="H17" i="23" s="1"/>
  <c r="I17" i="23" s="1"/>
  <c r="J17" i="23" s="1"/>
  <c r="K17" i="23" s="1"/>
  <c r="L17" i="23" s="1"/>
  <c r="M17" i="23" s="1"/>
  <c r="N17" i="23" s="1"/>
  <c r="D14" i="23"/>
  <c r="C15" i="23"/>
  <c r="C23" i="23" s="1"/>
  <c r="H11" i="11"/>
  <c r="G23" i="15"/>
  <c r="E22" i="15"/>
  <c r="L6" i="22"/>
  <c r="D8" i="22"/>
  <c r="F8" i="22"/>
  <c r="L7" i="22"/>
  <c r="F5" i="21"/>
  <c r="L5" i="21" s="1"/>
  <c r="L7" i="21" s="1"/>
  <c r="D16" i="23" l="1"/>
  <c r="E16" i="23" s="1"/>
  <c r="F16" i="23" s="1"/>
  <c r="G16" i="23" s="1"/>
  <c r="H16" i="23" s="1"/>
  <c r="I16" i="23" s="1"/>
  <c r="J16" i="23" s="1"/>
  <c r="K16" i="23" s="1"/>
  <c r="L16" i="23" s="1"/>
  <c r="M16" i="23" s="1"/>
  <c r="N16" i="23" s="1"/>
  <c r="G19" i="23"/>
  <c r="H19" i="23"/>
  <c r="I19" i="23" s="1"/>
  <c r="J19" i="23" s="1"/>
  <c r="K19" i="23" s="1"/>
  <c r="L19" i="23" s="1"/>
  <c r="M19" i="23" s="1"/>
  <c r="N19" i="23" s="1"/>
  <c r="O17" i="23"/>
  <c r="F9" i="11"/>
  <c r="L9" i="11" s="1"/>
  <c r="L7" i="11"/>
  <c r="G7" i="11" s="1"/>
  <c r="E14" i="23"/>
  <c r="D15" i="23"/>
  <c r="E15" i="23" s="1"/>
  <c r="F15" i="23" s="1"/>
  <c r="G15" i="23" s="1"/>
  <c r="H15" i="23" s="1"/>
  <c r="I15" i="23" s="1"/>
  <c r="J15" i="23" s="1"/>
  <c r="K15" i="23" s="1"/>
  <c r="L15" i="23" s="1"/>
  <c r="M15" i="23" s="1"/>
  <c r="N15" i="23" s="1"/>
  <c r="L8" i="22"/>
  <c r="M22" i="15"/>
  <c r="E25" i="15"/>
  <c r="M23" i="15"/>
  <c r="G25" i="15"/>
  <c r="F7" i="21"/>
  <c r="O19" i="23" l="1"/>
  <c r="C7" i="11"/>
  <c r="K7" i="11"/>
  <c r="I7" i="11"/>
  <c r="E7" i="11"/>
  <c r="G9" i="11"/>
  <c r="E9" i="11"/>
  <c r="I9" i="11"/>
  <c r="K9" i="11"/>
  <c r="C9" i="11"/>
  <c r="O16" i="23"/>
  <c r="D23" i="23"/>
  <c r="F14" i="23"/>
  <c r="E23" i="23"/>
  <c r="O15" i="23"/>
  <c r="G14" i="23" l="1"/>
  <c r="F23" i="23"/>
  <c r="D10" i="11"/>
  <c r="D11" i="11" s="1"/>
  <c r="C24" i="28"/>
  <c r="H14" i="23" l="1"/>
  <c r="G23" i="23"/>
  <c r="C28" i="28"/>
  <c r="C15" i="28"/>
  <c r="C7" i="30" l="1"/>
  <c r="C10" i="30" s="1"/>
  <c r="C11" i="30" s="1"/>
  <c r="C20" i="30" s="1"/>
  <c r="C6" i="23"/>
  <c r="C12" i="28"/>
  <c r="I14" i="23"/>
  <c r="H23" i="23"/>
  <c r="C9" i="28"/>
  <c r="C26" i="28"/>
  <c r="C23" i="28" s="1"/>
  <c r="C8" i="28"/>
  <c r="C11" i="28"/>
  <c r="D6" i="23" l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J14" i="23"/>
  <c r="I23" i="23"/>
  <c r="C22" i="28"/>
  <c r="C27" i="28" s="1"/>
  <c r="C29" i="28" s="1"/>
  <c r="C5" i="23"/>
  <c r="D5" i="23" l="1"/>
  <c r="O6" i="23"/>
  <c r="K14" i="23"/>
  <c r="J23" i="23"/>
  <c r="D7" i="15"/>
  <c r="E5" i="23" l="1"/>
  <c r="L14" i="23"/>
  <c r="K23" i="23"/>
  <c r="C7" i="28"/>
  <c r="D25" i="15"/>
  <c r="M7" i="15"/>
  <c r="M25" i="15" s="1"/>
  <c r="F5" i="23" l="1"/>
  <c r="M14" i="23"/>
  <c r="L23" i="23"/>
  <c r="C11" i="32"/>
  <c r="C7" i="23" l="1"/>
  <c r="G5" i="23"/>
  <c r="N14" i="23"/>
  <c r="M23" i="23"/>
  <c r="C10" i="28"/>
  <c r="C14" i="28" s="1"/>
  <c r="C16" i="28" s="1"/>
  <c r="D7" i="23" l="1"/>
  <c r="C12" i="23"/>
  <c r="H5" i="23"/>
  <c r="N23" i="23"/>
  <c r="O14" i="23"/>
  <c r="F10" i="11"/>
  <c r="E7" i="23" l="1"/>
  <c r="D12" i="23"/>
  <c r="D24" i="23" s="1"/>
  <c r="C24" i="23"/>
  <c r="I5" i="23"/>
  <c r="O23" i="23"/>
  <c r="L10" i="11"/>
  <c r="G10" i="11" s="1"/>
  <c r="F11" i="11"/>
  <c r="F7" i="23" l="1"/>
  <c r="E12" i="23"/>
  <c r="E24" i="23" s="1"/>
  <c r="J5" i="23"/>
  <c r="L11" i="11"/>
  <c r="K10" i="11"/>
  <c r="C10" i="11"/>
  <c r="E10" i="11"/>
  <c r="K5" i="23" l="1"/>
  <c r="G7" i="23"/>
  <c r="F12" i="23"/>
  <c r="I11" i="11"/>
  <c r="C11" i="11"/>
  <c r="E11" i="11"/>
  <c r="K11" i="11"/>
  <c r="G11" i="11"/>
  <c r="L5" i="23" l="1"/>
  <c r="F24" i="23"/>
  <c r="H7" i="23"/>
  <c r="G12" i="23"/>
  <c r="G24" i="23" s="1"/>
  <c r="I7" i="23" l="1"/>
  <c r="H12" i="23"/>
  <c r="M5" i="23"/>
  <c r="H24" i="23" l="1"/>
  <c r="N5" i="23"/>
  <c r="J7" i="23"/>
  <c r="I12" i="23"/>
  <c r="I24" i="23" s="1"/>
  <c r="O5" i="23" l="1"/>
  <c r="K7" i="23"/>
  <c r="J12" i="23"/>
  <c r="J24" i="23" s="1"/>
  <c r="L7" i="23" l="1"/>
  <c r="K12" i="23"/>
  <c r="K24" i="23" s="1"/>
  <c r="M7" i="23" l="1"/>
  <c r="L12" i="23"/>
  <c r="L24" i="23" s="1"/>
  <c r="N7" i="23" l="1"/>
  <c r="M12" i="23"/>
  <c r="M24" i="23" s="1"/>
  <c r="O7" i="23" l="1"/>
  <c r="N12" i="23"/>
  <c r="N24" i="23" l="1"/>
  <c r="O24" i="23" s="1"/>
  <c r="O1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Angéla</author>
  </authors>
  <commentList>
    <comment ref="E11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Angéla:</t>
        </r>
        <r>
          <rPr>
            <sz val="9"/>
            <color indexed="81"/>
            <rFont val="Segoe UI"/>
            <family val="2"/>
            <charset val="238"/>
          </rPr>
          <t xml:space="preserve">
bontani ha kell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Angéla</author>
  </authors>
  <commentList>
    <comment ref="M31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Angéla:</t>
        </r>
        <r>
          <rPr>
            <sz val="9"/>
            <color indexed="81"/>
            <rFont val="Segoe UI"/>
            <family val="2"/>
            <charset val="238"/>
          </rPr>
          <t xml:space="preserve">
negatív bank
</t>
        </r>
      </text>
    </comment>
  </commentList>
</comments>
</file>

<file path=xl/sharedStrings.xml><?xml version="1.0" encoding="utf-8"?>
<sst xmlns="http://schemas.openxmlformats.org/spreadsheetml/2006/main" count="2778" uniqueCount="941">
  <si>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</si>
  <si>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</si>
  <si>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</si>
  <si>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</si>
  <si>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</si>
  <si>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</si>
  <si>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</si>
  <si>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</si>
  <si>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</si>
  <si>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</si>
  <si>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</si>
  <si>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</si>
  <si>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</si>
  <si>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</si>
  <si>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</si>
  <si>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</si>
  <si>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</si>
  <si>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</si>
  <si>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</si>
  <si>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</si>
  <si>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</si>
  <si>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</si>
  <si>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</si>
  <si>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</si>
  <si>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</si>
  <si>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</si>
  <si>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</si>
  <si>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</si>
  <si>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</si>
  <si>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</si>
  <si>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</si>
  <si>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</si>
  <si>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</si>
  <si>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</si>
  <si>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</si>
  <si>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</si>
  <si>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</si>
  <si>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</si>
  <si>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</si>
  <si>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</si>
  <si>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</si>
  <si>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</si>
  <si>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</si>
  <si>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</si>
  <si>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</si>
  <si>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</si>
  <si>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</si>
  <si>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</si>
  <si>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</si>
  <si>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</si>
  <si>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</si>
  <si>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</si>
  <si>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</si>
  <si>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</si>
  <si>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</si>
  <si>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</si>
  <si>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</si>
  <si>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</si>
  <si>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</si>
  <si>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</si>
  <si>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</si>
  <si>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</si>
  <si>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</si>
  <si>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</si>
  <si>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</si>
  <si>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</si>
  <si>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</si>
  <si>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</si>
  <si>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</si>
  <si>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</si>
  <si>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</si>
  <si>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</si>
  <si>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</si>
  <si>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</si>
  <si>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</si>
  <si>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</si>
  <si>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</si>
  <si>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</si>
  <si>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</si>
  <si>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</si>
  <si>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</si>
  <si>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</si>
  <si>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</si>
  <si>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</si>
  <si>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</si>
  <si>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</si>
  <si>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</si>
  <si>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</si>
  <si>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</si>
  <si>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</si>
  <si>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</si>
  <si>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</si>
  <si>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</si>
  <si>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</si>
  <si>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</si>
  <si>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</si>
  <si>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</si>
  <si>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</si>
  <si>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</si>
  <si>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</si>
  <si>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</si>
  <si>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</si>
  <si>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</si>
  <si>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</si>
  <si>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</si>
  <si>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</si>
  <si>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</si>
  <si>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</si>
  <si>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</si>
  <si>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</si>
  <si>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</si>
  <si>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</si>
  <si>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</si>
  <si>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</si>
  <si>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</si>
  <si>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</si>
  <si>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</si>
  <si>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</si>
  <si>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</si>
  <si>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</si>
  <si>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</si>
  <si>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</si>
  <si>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</si>
  <si>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</si>
  <si>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</si>
  <si>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</si>
  <si>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</si>
  <si>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</si>
  <si>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</si>
  <si>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</si>
  <si>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</si>
  <si>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</si>
  <si>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</si>
  <si>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</si>
  <si>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</si>
  <si>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</si>
  <si>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</si>
  <si>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</si>
  <si>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</si>
  <si>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</si>
  <si>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</si>
  <si>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</si>
  <si>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</si>
  <si>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</si>
  <si>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</si>
  <si>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</si>
  <si>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</si>
  <si>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</si>
  <si>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</si>
  <si>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</si>
  <si>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</si>
  <si>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</si>
  <si>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</si>
  <si>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</si>
  <si>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</si>
  <si>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</si>
  <si>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</si>
  <si>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</si>
  <si>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</si>
  <si>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</si>
  <si>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</si>
  <si>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</si>
  <si>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</si>
  <si>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</si>
  <si>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</si>
  <si>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</si>
  <si>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</si>
  <si>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</si>
  <si>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</si>
  <si>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</si>
  <si>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</si>
  <si>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</si>
  <si>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</si>
  <si>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</si>
  <si>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</si>
  <si>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</si>
  <si>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</si>
  <si>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</si>
  <si>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</si>
  <si>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</si>
  <si>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</si>
  <si>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</si>
  <si>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</si>
  <si>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</si>
  <si>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</si>
  <si>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</si>
  <si>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</si>
  <si>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</si>
  <si>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</si>
  <si>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</si>
  <si>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</si>
  <si>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</si>
  <si>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</si>
  <si>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</si>
  <si>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</si>
  <si>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</si>
  <si>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</si>
  <si>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</si>
  <si>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</si>
  <si>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</si>
  <si>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</si>
  <si>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</si>
  <si>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</si>
  <si>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</si>
  <si>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</si>
  <si>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</si>
  <si>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</si>
  <si>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</si>
  <si>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</si>
  <si>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</si>
  <si>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</si>
  <si>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</si>
  <si>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</si>
  <si>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</si>
  <si>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</si>
  <si>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</si>
  <si>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</si>
  <si>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</si>
  <si>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</si>
  <si>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</si>
  <si>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</si>
  <si>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</si>
  <si>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</si>
  <si>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</si>
  <si>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</si>
  <si>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</si>
  <si>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</si>
  <si>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</si>
  <si>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</si>
  <si>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</si>
  <si>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</si>
  <si>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</si>
  <si>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</si>
  <si>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</si>
  <si>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</si>
  <si>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</si>
  <si>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</si>
  <si>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</si>
  <si>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</si>
  <si>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</si>
  <si>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</si>
  <si>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</si>
  <si>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</si>
  <si>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</si>
  <si>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</si>
  <si>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</si>
  <si>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</si>
  <si>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</si>
  <si>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</si>
  <si>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</si>
  <si>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</si>
  <si>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</si>
  <si>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</si>
  <si>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</si>
  <si>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</si>
  <si>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</si>
  <si>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</si>
  <si>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</si>
  <si>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</si>
  <si>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</si>
  <si>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</si>
  <si>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</si>
  <si>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</si>
  <si>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</si>
  <si>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</si>
  <si>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</si>
  <si>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</si>
  <si>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</si>
  <si>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</si>
  <si>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</si>
  <si>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</si>
  <si>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</si>
  <si>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</si>
  <si>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</si>
  <si>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</si>
  <si>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</si>
  <si>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</si>
  <si>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</si>
  <si>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</si>
  <si>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</si>
  <si>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</si>
  <si>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</si>
  <si>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</si>
  <si>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</si>
  <si>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</si>
  <si>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</si>
  <si>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</si>
  <si>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</si>
  <si>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</si>
  <si>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</si>
  <si>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</si>
  <si>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</si>
  <si>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</si>
  <si>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</si>
  <si>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</si>
  <si>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</si>
  <si>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</si>
  <si>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</si>
  <si>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</si>
  <si>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</si>
  <si>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</si>
  <si>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</si>
  <si>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</si>
  <si>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</si>
  <si>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</si>
  <si>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</si>
  <si>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</si>
  <si>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</si>
  <si>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</si>
  <si>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</si>
  <si>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</si>
  <si>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</si>
  <si>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</si>
  <si>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</si>
  <si>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</si>
  <si>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</si>
  <si>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</si>
  <si>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</si>
  <si>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</si>
  <si>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</si>
  <si>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</si>
  <si>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</si>
  <si>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</si>
  <si>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</si>
  <si>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</si>
  <si>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</si>
  <si>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</si>
  <si>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</si>
  <si>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</si>
  <si>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</si>
  <si>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</si>
  <si>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</si>
  <si>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</si>
  <si>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</si>
  <si>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</si>
  <si>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</si>
  <si>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</si>
  <si>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</si>
  <si>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</si>
  <si>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</si>
  <si>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</si>
  <si>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</si>
  <si>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</si>
  <si>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</si>
  <si>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</si>
  <si>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</si>
  <si>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</si>
  <si>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</si>
  <si>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</si>
  <si>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</si>
  <si>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</si>
  <si>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</si>
  <si>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</si>
  <si>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</si>
  <si>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</si>
  <si>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</si>
  <si>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</si>
  <si>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</si>
  <si>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</si>
  <si>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</si>
  <si>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</si>
  <si>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</si>
  <si>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</si>
  <si>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</si>
  <si>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</si>
  <si>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</si>
  <si>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</si>
  <si>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</si>
  <si>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</si>
  <si>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</si>
  <si>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</si>
  <si>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</si>
  <si>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</si>
  <si>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</si>
  <si>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</si>
  <si>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</si>
  <si>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</si>
  <si>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</si>
  <si>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</si>
  <si>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</si>
  <si>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</si>
  <si>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</si>
  <si>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</si>
  <si>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</si>
  <si>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</si>
  <si>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</si>
  <si>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</si>
  <si>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</si>
  <si>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</si>
  <si>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</si>
  <si>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</si>
  <si>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</si>
  <si>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</si>
  <si>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</si>
  <si>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</si>
  <si>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</si>
  <si>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</si>
  <si>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</si>
  <si>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</si>
  <si>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</si>
  <si>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</si>
  <si>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</si>
  <si>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</si>
  <si>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</si>
  <si>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</si>
  <si>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</si>
  <si>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</si>
  <si>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</si>
  <si>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</si>
  <si>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</si>
  <si>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</si>
  <si>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</si>
  <si>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</si>
  <si>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</si>
  <si>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</si>
  <si>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</si>
  <si>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</si>
  <si>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</si>
  <si>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</si>
  <si>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</si>
  <si>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</si>
  <si>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</si>
  <si>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</si>
  <si>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</si>
  <si>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</si>
  <si>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</si>
  <si>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</si>
  <si>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</si>
  <si>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</si>
  <si>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</si>
  <si>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</si>
  <si>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</si>
  <si>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</si>
  <si>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</si>
  <si>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</si>
  <si>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</si>
  <si>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</si>
  <si>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</si>
  <si>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</si>
  <si>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</si>
  <si>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</si>
  <si>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</si>
  <si>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</si>
  <si>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</si>
  <si>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</si>
  <si>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</si>
  <si>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</si>
  <si>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</si>
  <si>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</si>
  <si>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</si>
  <si>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</si>
  <si>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</si>
  <si>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</si>
  <si>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</si>
  <si>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</si>
  <si>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</si>
  <si>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</si>
  <si>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</si>
  <si>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</si>
  <si>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</si>
  <si>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</si>
  <si>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</si>
  <si>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</si>
  <si>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</si>
  <si>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</si>
  <si>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</si>
  <si>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</si>
  <si>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</si>
  <si>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</si>
  <si>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</si>
  <si>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</si>
  <si>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</si>
  <si>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</si>
  <si>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</si>
  <si>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</si>
  <si>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</si>
  <si>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</si>
  <si>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</si>
  <si>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</si>
  <si>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</si>
  <si>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</si>
  <si>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</si>
  <si>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</si>
  <si>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</si>
  <si>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</si>
  <si>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</si>
  <si>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</si>
  <si>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</si>
  <si>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</si>
  <si>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</si>
  <si>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</si>
  <si>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</si>
  <si>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</si>
  <si>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</si>
  <si>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</si>
  <si>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</si>
  <si>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</si>
  <si>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</si>
  <si>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</si>
  <si>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</si>
  <si>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</si>
  <si>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</si>
  <si>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</si>
  <si>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</si>
  <si>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</si>
  <si>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</si>
  <si>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</si>
  <si>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</si>
  <si>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</si>
  <si>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</si>
  <si>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</si>
  <si>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</si>
  <si>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</si>
  <si>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</si>
  <si>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</si>
  <si>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</si>
  <si>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</si>
  <si>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</si>
  <si>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</si>
  <si>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</si>
  <si>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</si>
  <si>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</si>
  <si>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</si>
  <si>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</si>
  <si>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</si>
  <si>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</si>
  <si>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</si>
  <si>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</si>
  <si>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</si>
  <si>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</si>
  <si>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</si>
  <si>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</si>
  <si>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</si>
  <si>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</si>
  <si>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</si>
  <si>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</si>
  <si>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</si>
  <si>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</si>
  <si>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</si>
  <si>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</si>
  <si>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</si>
  <si>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</si>
  <si>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</si>
  <si>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</si>
  <si>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</si>
  <si>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</si>
  <si>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</si>
  <si>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</si>
  <si>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</si>
  <si>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</si>
  <si>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</si>
  <si>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</si>
  <si>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</si>
  <si>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</si>
  <si>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</si>
  <si>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</si>
  <si>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</si>
  <si>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</si>
  <si>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</si>
  <si>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</si>
  <si>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</si>
  <si>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</si>
  <si>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</si>
  <si>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</si>
  <si>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</si>
  <si>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</si>
  <si>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</si>
  <si>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</si>
  <si>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</si>
  <si>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</si>
  <si>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</si>
  <si>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</si>
  <si>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</si>
  <si>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</si>
  <si>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</si>
  <si>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</si>
  <si>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</si>
  <si>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</si>
  <si>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</si>
  <si>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</si>
  <si>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</si>
  <si>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</si>
  <si>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</si>
  <si>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</si>
  <si>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</si>
  <si>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</si>
  <si>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</si>
  <si>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</si>
  <si>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</si>
  <si>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</si>
  <si>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</si>
  <si>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</si>
  <si>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</si>
  <si>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</si>
  <si>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</si>
  <si>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</si>
  <si>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</si>
  <si>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</si>
  <si>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</si>
  <si>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</si>
  <si>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</si>
  <si>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</si>
  <si>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</si>
  <si>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</si>
  <si>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</si>
  <si>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</si>
  <si>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</si>
  <si>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</si>
  <si>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</si>
  <si>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</si>
  <si>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</si>
  <si>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</si>
  <si>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</si>
  <si>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</si>
  <si>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</si>
  <si>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</si>
  <si>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</si>
  <si>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</si>
  <si>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</si>
  <si>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018010</t>
  </si>
  <si>
    <t>Önkormányzatok elszámolásai a központi költségvetéssel</t>
  </si>
  <si>
    <t>041237</t>
  </si>
  <si>
    <t>Közfoglalkoztatási mintaprogram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</si>
  <si>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</si>
  <si>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</si>
  <si>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</si>
  <si>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</si>
  <si>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</si>
  <si>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</si>
  <si>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</si>
  <si>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Út, autó pálya építése</t>
  </si>
  <si>
    <t>900020</t>
  </si>
  <si>
    <t>Önkormányzatok funkciókra nem sorolt bevételei áht-n kívülről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</si>
  <si>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</si>
  <si>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</si>
  <si>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</si>
  <si>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</si>
  <si>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</si>
  <si>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</si>
  <si>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</si>
  <si>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</si>
  <si>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</si>
  <si>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</si>
  <si>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</si>
  <si>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</si>
  <si>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</si>
  <si>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</si>
  <si>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</si>
  <si>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</si>
  <si>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</si>
  <si>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</si>
  <si>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</si>
  <si>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</si>
  <si>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</si>
  <si>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</si>
  <si>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</si>
  <si>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</si>
  <si>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</si>
  <si>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</si>
  <si>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</si>
  <si>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091220</t>
  </si>
  <si>
    <t>091250</t>
  </si>
  <si>
    <t>092120</t>
  </si>
  <si>
    <t>092260</t>
  </si>
  <si>
    <t>092270</t>
  </si>
  <si>
    <t>096015</t>
  </si>
  <si>
    <t>096030</t>
  </si>
  <si>
    <t>098022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</si>
  <si>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</si>
  <si>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</si>
  <si>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</si>
  <si>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</si>
  <si>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</si>
  <si>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</si>
  <si>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</si>
  <si>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</si>
  <si>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</si>
  <si>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</si>
  <si>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</si>
  <si>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</si>
  <si>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</si>
  <si>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</si>
  <si>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</si>
  <si>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</si>
  <si>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</si>
  <si>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</si>
  <si>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</si>
  <si>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</si>
  <si>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</si>
  <si>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</si>
  <si>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</si>
  <si>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</si>
  <si>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</si>
  <si>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</si>
  <si>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</si>
  <si>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</si>
  <si>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</si>
  <si>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</si>
  <si>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</si>
  <si>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Köznevelési intézmény 1-4.évf.tanulók nev.okt. működ.fel.</t>
  </si>
  <si>
    <t>Alapfokú művészetoktatással összefüggő működtetési feladatok</t>
  </si>
  <si>
    <t>Köznevelési intézmény 5-8.évf.tanulók nev.okt. működ.fel.</t>
  </si>
  <si>
    <t>Gimnázium és szakképző iskola tanulóinak elméleti okt.műk.fel.</t>
  </si>
  <si>
    <t>Szakképző isk.tanulók gyakorlati okt.műk.fel.</t>
  </si>
  <si>
    <t>Gyermekétkeztetés köznevelési intézményben</t>
  </si>
  <si>
    <t>Köznevelési intézményben tanulók lakhatásának biztosítása</t>
  </si>
  <si>
    <t>Pedagógiai szakszolgáltató tev.műk.fel.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</si>
  <si>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</si>
  <si>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</si>
  <si>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</si>
  <si>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</si>
  <si>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</si>
  <si>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</si>
  <si>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</si>
  <si>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G</t>
  </si>
  <si>
    <t>Finanszírozási bevételek, kiadások egyenlege
(finanszírozási bevételek 70. sor - finanszírozási kiadások 31. sor) (+/-)</t>
  </si>
  <si>
    <t>Konyár Község Önkormányzata</t>
  </si>
  <si>
    <t>Címrend
Konyár Község Önkormányzata 2018. évi költségvetéséhez</t>
  </si>
  <si>
    <t>Konyári Polgármesteri Hivatal</t>
  </si>
  <si>
    <t>Művelődési és Ifjúsági Ház, Könyvtár, Kurucz Albert Falumúzeum</t>
  </si>
  <si>
    <t>Konyári Óvoda</t>
  </si>
  <si>
    <t>Konyár Község Önkormányzata
2018. évi költségvetésének összevont mérlege</t>
  </si>
  <si>
    <t>2018. évi eredeti előirányzat</t>
  </si>
  <si>
    <t>2020. év</t>
  </si>
  <si>
    <t>2018. évi állami támogatás</t>
  </si>
  <si>
    <t>2021.</t>
  </si>
  <si>
    <t>2018. évi költelezettség</t>
  </si>
  <si>
    <t>2020. évi kötelezettség</t>
  </si>
  <si>
    <t xml:space="preserve"> Konyár Község Önkormányzatának
2018. évi állami támogatások  jogcímei és összegei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</si>
  <si>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</si>
  <si>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</si>
  <si>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által 2018. évben folyósított ellátottak pénzbeli juttatásai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</si>
  <si>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</si>
  <si>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</si>
  <si>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</si>
  <si>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Önkormányzatának
2018. évi bevételi és kiadási előirányzatai</t>
  </si>
  <si>
    <t>Konyár Község Önkormányzatának
2018. évi bevételei  feladatonként</t>
  </si>
  <si>
    <t>Konyár Község Önkormányzatának
2018. évi kiadásai  feladatonként</t>
  </si>
  <si>
    <t>Konyári Polgármesteri Hivatal
2018. évi bevételi és kiadási előirányzatai</t>
  </si>
  <si>
    <t>Konyári Polgármesteri Hivatal
2018. évi bevételei  feladatonként</t>
  </si>
  <si>
    <t>Konyári Polgármesteri Hivatal
2018. évi kiadásai  feladatonként</t>
  </si>
  <si>
    <t>Művelődési és Ifjúsági Ház, Könyvtár, Kurucz Albert Falumúzeum
2018. évi bevételi és kiadási előirányzatai</t>
  </si>
  <si>
    <t>Művelődési és Ifjúsági Ház, Könyvtár, Kurucz Albert Falumúzeum
2018. évi bevételei  feladatonként</t>
  </si>
  <si>
    <t>Művelődési és Ifjúsági Ház, Könyvtár, Kurucz Albert Falumúzeum
2018. évi kiadásai  feladatonként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</si>
  <si>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</si>
  <si>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</si>
  <si>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</si>
  <si>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</si>
  <si>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</si>
  <si>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</si>
  <si>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</si>
  <si>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</si>
  <si>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</si>
  <si>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</si>
  <si>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</si>
  <si>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</si>
  <si>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</si>
  <si>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</si>
  <si>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</si>
  <si>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</si>
  <si>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</si>
  <si>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</si>
  <si>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</si>
  <si>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</si>
  <si>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</si>
  <si>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</si>
  <si>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</si>
  <si>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</si>
  <si>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</si>
  <si>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</si>
  <si>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</si>
  <si>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</si>
  <si>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</si>
  <si>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</si>
  <si>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</si>
  <si>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</si>
  <si>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</si>
  <si>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Konyári Óvoda
2018. évi bevételi és kiadási előirányzatai</t>
  </si>
  <si>
    <t>Konyári Óvoda
2018. évi bevételei  feladatonként</t>
  </si>
  <si>
    <t>Konyári Óvoda
2018. évi kiadásai  feladatonként</t>
  </si>
  <si>
    <t>Köztemető-fenntartás és -működtetés</t>
  </si>
  <si>
    <t xml:space="preserve"> Összesen</t>
  </si>
  <si>
    <t>Jubileumi jutalom K1106</t>
  </si>
  <si>
    <t>Közlekedési költségtérítés K1109</t>
  </si>
  <si>
    <t>Béren kívüli juttatás (cafeteria) K1107</t>
  </si>
  <si>
    <t>Helyettesítés, ügyeleti díj, túlóra K1104</t>
  </si>
  <si>
    <t>Munkaadót terhelő járulék: K2</t>
  </si>
  <si>
    <t>Szocadó (27 %) K2/1</t>
  </si>
  <si>
    <t>Béren kívüli juttatásra m.adói SZJA  K2/7</t>
  </si>
  <si>
    <t>Béren kívüli juttatásra EHO K2/4</t>
  </si>
  <si>
    <t>Hosszabb időtartamú közfoglalkozatatás (041233)</t>
  </si>
  <si>
    <t>Közfoglalkoztatási mintaprogram (041237)</t>
  </si>
  <si>
    <t>Család és nővédelmi egészségügyi gondozás  (074031)</t>
  </si>
  <si>
    <t>Házi segítségnyújtás (107052)</t>
  </si>
  <si>
    <t>Önkormányzatok és önkorm.hivat.jogalkot.ált.ig.tev (011130)</t>
  </si>
  <si>
    <t>Város-, községgazdálkodási egyéb szolgáltatások (066020)</t>
  </si>
  <si>
    <t>Család és gyermekjóléti szolgáltatások (104042)</t>
  </si>
  <si>
    <t>Táppénz hozzájárulás K2/5</t>
  </si>
  <si>
    <t>Személyi juttatások összesen: K1</t>
  </si>
  <si>
    <t>Törvény szerinti illemtmények K1101</t>
  </si>
  <si>
    <t>Céljuttatások K1103</t>
  </si>
  <si>
    <t>Választott tisztségviselők juttatásai  K121</t>
  </si>
  <si>
    <t>Állom. nem tartozók megbízási díja K122</t>
  </si>
  <si>
    <t>Foglalkoztatottak egyéb személyi juttatása (betegszabadság, egyéb sajátos jutt.) K1113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</si>
  <si>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</si>
  <si>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</si>
  <si>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</si>
  <si>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</si>
  <si>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</si>
  <si>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</si>
  <si>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</si>
  <si>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</si>
  <si>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Kiküldetések kiadásai (K341)</t>
  </si>
  <si>
    <t>Működési célú előzetesen felszámított általános forgalmi adó (K351)</t>
  </si>
  <si>
    <t>Fizetendő általános forgalmi adó  (K352)</t>
  </si>
  <si>
    <t>Egyéb dologi kiadások (K355)</t>
  </si>
  <si>
    <t>Dologi kiadások összesen: K3</t>
  </si>
  <si>
    <t>Árubeszerzés (K313)</t>
  </si>
  <si>
    <t>Bérleti és lízing díjak (K333)</t>
  </si>
  <si>
    <t>Közvetített szolgáltatások  (K335)</t>
  </si>
  <si>
    <t>Kamatkiadások (K353)</t>
  </si>
  <si>
    <t>Egyéb pénzügyi műveletek kiadásai (K354)</t>
  </si>
  <si>
    <t>Felújítások (K7)</t>
  </si>
  <si>
    <t>Beruházások (K8)</t>
  </si>
  <si>
    <t>Beruházások, Felújítások kiadásai</t>
  </si>
  <si>
    <t>Immateriális javak beszerzése, létesítése  (K61)</t>
  </si>
  <si>
    <t>Ingatlanok beszerzése, létesítése (K62)</t>
  </si>
  <si>
    <t>Egyéb tárgyi eszközök beszerzése, létesítése (K64)</t>
  </si>
  <si>
    <t>Informatikai eszközök beszerzése, létesítése (K63)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</si>
  <si>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</si>
  <si>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</si>
  <si>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</si>
  <si>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</si>
  <si>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</si>
  <si>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</si>
  <si>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</si>
  <si>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Kiemeltállami és önk-i rend. (016080)</t>
  </si>
  <si>
    <t>Közművelődés közösségi (082091)</t>
  </si>
  <si>
    <t>Könyvtári szolgált.  (082044)</t>
  </si>
  <si>
    <t>Óvoda nevelés szakmai (091110)</t>
  </si>
  <si>
    <t>Óvoda nevelés működtetés (0911407)</t>
  </si>
  <si>
    <t>SNI  (091120)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</si>
  <si>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</si>
  <si>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</si>
  <si>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</si>
  <si>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</si>
  <si>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</si>
  <si>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</si>
  <si>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</si>
  <si>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nyitott szállítói tartozások</t>
  </si>
  <si>
    <t>Összesen bértábla alapján</t>
  </si>
  <si>
    <t>Összegző bértábla alapján</t>
  </si>
  <si>
    <t>terv összes cofog bontás nélkül</t>
  </si>
  <si>
    <t>Beruházások (K6)</t>
  </si>
  <si>
    <t>Önkormányzat</t>
  </si>
  <si>
    <t>Közfoglalkoztatottak</t>
  </si>
  <si>
    <t>terv dokumentumból</t>
  </si>
  <si>
    <t>Közüzemi díjak (K331) villamos energia</t>
  </si>
  <si>
    <t>Közüzemi díjak (K331) gáz</t>
  </si>
  <si>
    <t>Közüzemi díjak (K331) víz és szennyvíz</t>
  </si>
  <si>
    <t>Szocadó K2/1</t>
  </si>
  <si>
    <t>terv dol-ból</t>
  </si>
  <si>
    <t>bértábla összesen</t>
  </si>
  <si>
    <t>kf</t>
  </si>
  <si>
    <t>összes terv bontás nélkül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</si>
  <si>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</si>
  <si>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</si>
  <si>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</si>
  <si>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</si>
  <si>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</si>
  <si>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</si>
  <si>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</si>
  <si>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</si>
  <si>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</si>
  <si>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</si>
  <si>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</si>
  <si>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</si>
  <si>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</si>
  <si>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</si>
  <si>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</si>
  <si>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</si>
  <si>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</si>
  <si>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</si>
  <si>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</si>
  <si>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</si>
  <si>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</si>
  <si>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</si>
  <si>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</si>
  <si>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</si>
  <si>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</si>
  <si>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</si>
  <si>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 xml:space="preserve">Költségvetési kiadások összesen </t>
  </si>
  <si>
    <t>Konyár Község Önkormányzata
2018. évi költségvetésében a működési és felhalmozási célú bevételek és kiadások összevont mérlege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</si>
  <si>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</si>
  <si>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</si>
  <si>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</si>
  <si>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</si>
  <si>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</si>
  <si>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</si>
  <si>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</si>
  <si>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</si>
  <si>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</si>
  <si>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</si>
  <si>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</si>
  <si>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</si>
  <si>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</si>
  <si>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</si>
  <si>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</si>
  <si>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</si>
  <si>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</si>
  <si>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</si>
  <si>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</si>
  <si>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</si>
  <si>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</si>
  <si>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</si>
  <si>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</si>
  <si>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</si>
  <si>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</si>
  <si>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</si>
  <si>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</si>
  <si>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</si>
  <si>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</si>
  <si>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</si>
  <si>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</si>
  <si>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</si>
  <si>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</si>
  <si>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</si>
  <si>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</si>
  <si>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</si>
  <si>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</si>
  <si>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</si>
  <si>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</si>
  <si>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</si>
  <si>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</si>
  <si>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</si>
  <si>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</si>
  <si>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</si>
  <si>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</si>
  <si>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2018. évi módosított előirányzat</t>
  </si>
  <si>
    <t>Módosítás</t>
  </si>
  <si>
    <t>2018. évi módosított állami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</si>
</sst>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2"/>
      <name val="Times New Roman"/>
      <family val="1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5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8" applyNumberFormat="0" applyAlignment="0" applyProtection="0"/>
    <xf numFmtId="0" fontId="74" fillId="0" borderId="0" applyNumberFormat="0" applyFill="0" applyBorder="0" applyAlignment="0" applyProtection="0"/>
    <xf numFmtId="0" fontId="75" fillId="0" borderId="40" applyNumberFormat="0" applyFill="0" applyAlignment="0" applyProtection="0"/>
    <xf numFmtId="0" fontId="76" fillId="0" borderId="41" applyNumberFormat="0" applyFill="0" applyAlignment="0" applyProtection="0"/>
    <xf numFmtId="0" fontId="77" fillId="0" borderId="42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39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3" applyNumberFormat="0" applyFill="0" applyAlignment="0" applyProtection="0"/>
    <xf numFmtId="0" fontId="35" fillId="23" borderId="44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5" applyNumberFormat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21" fillId="0" borderId="0"/>
    <xf numFmtId="0" fontId="16" fillId="0" borderId="0"/>
    <xf numFmtId="0" fontId="86" fillId="0" borderId="46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26">
    <xf numFmtId="0" fontId="0" fillId="0" borderId="0" xfId="0"/>
    <xf numFmtId="0" fontId="7" fillId="0" borderId="0" xfId="1" applyFill="1" applyProtection="1"/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61" fillId="0" borderId="0" xfId="48" applyFont="1"/>
    <xf numFmtId="0" fontId="66" fillId="0" borderId="0" xfId="48" applyFont="1"/>
    <xf numFmtId="166" fontId="66" fillId="0" borderId="0" xfId="35" applyNumberFormat="1" applyFont="1"/>
    <xf numFmtId="166" fontId="67" fillId="0" borderId="0" xfId="35" applyNumberFormat="1" applyFont="1" applyFill="1" applyBorder="1" applyAlignment="1">
      <alignment horizontal="right"/>
    </xf>
    <xf numFmtId="0" fontId="69" fillId="0" borderId="0" xfId="48" applyFont="1"/>
    <xf numFmtId="0" fontId="66" fillId="0" borderId="0" xfId="48" applyFont="1" applyBorder="1"/>
    <xf numFmtId="166" fontId="66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0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7" xfId="67" applyNumberFormat="1" applyFont="1" applyBorder="1" applyAlignment="1">
      <alignment horizontal="center" vertical="center" wrapText="1"/>
    </xf>
    <xf numFmtId="164" fontId="16" fillId="0" borderId="57" xfId="67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60" applyNumberFormat="1" applyFont="1" applyFill="1" applyBorder="1" applyAlignment="1">
      <alignment horizontal="left"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1" fillId="0" borderId="0" xfId="0" applyFont="1" applyFill="1" applyBorder="1" applyAlignment="1" applyProtection="1">
      <alignment horizontal="center" vertical="center"/>
    </xf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164" fontId="16" fillId="0" borderId="0" xfId="160" applyNumberFormat="1" applyFont="1" applyFill="1" applyAlignment="1">
      <alignment vertical="center"/>
    </xf>
    <xf numFmtId="164" fontId="16" fillId="0" borderId="0" xfId="160" applyNumberFormat="1" applyFont="1" applyFill="1" applyBorder="1" applyAlignment="1">
      <alignment vertical="center"/>
    </xf>
    <xf numFmtId="3" fontId="94" fillId="0" borderId="24" xfId="76" applyNumberFormat="1" applyFont="1" applyFill="1" applyBorder="1" applyAlignment="1">
      <alignment horizontal="right" vertical="center"/>
    </xf>
    <xf numFmtId="164" fontId="20" fillId="0" borderId="13" xfId="160" applyNumberFormat="1" applyFont="1" applyFill="1" applyBorder="1" applyAlignment="1">
      <alignment horizontal="center" vertical="center"/>
    </xf>
    <xf numFmtId="164" fontId="20" fillId="0" borderId="14" xfId="160" applyNumberFormat="1" applyFont="1" applyFill="1" applyBorder="1" applyAlignment="1">
      <alignment horizontal="center" vertical="center" wrapText="1"/>
    </xf>
    <xf numFmtId="164" fontId="20" fillId="0" borderId="58" xfId="160" applyNumberFormat="1" applyFont="1" applyFill="1" applyBorder="1" applyAlignment="1">
      <alignment horizontal="center" vertical="center"/>
    </xf>
    <xf numFmtId="164" fontId="20" fillId="0" borderId="19" xfId="160" applyNumberFormat="1" applyFont="1" applyFill="1" applyBorder="1" applyAlignment="1">
      <alignment horizontal="center" vertical="center"/>
    </xf>
    <xf numFmtId="164" fontId="20" fillId="0" borderId="1" xfId="160" applyNumberFormat="1" applyFont="1" applyFill="1" applyBorder="1" applyAlignment="1">
      <alignment horizontal="center" vertical="center" wrapText="1"/>
    </xf>
    <xf numFmtId="164" fontId="16" fillId="0" borderId="26" xfId="160" applyNumberFormat="1" applyFont="1" applyFill="1" applyBorder="1" applyAlignment="1">
      <alignment vertical="center" wrapText="1"/>
    </xf>
    <xf numFmtId="164" fontId="16" fillId="0" borderId="49" xfId="160" applyNumberFormat="1" applyFont="1" applyFill="1" applyBorder="1" applyAlignment="1">
      <alignment vertical="center" wrapText="1"/>
    </xf>
    <xf numFmtId="164" fontId="16" fillId="0" borderId="50" xfId="160" applyNumberFormat="1" applyFont="1" applyFill="1" applyBorder="1" applyAlignment="1">
      <alignment vertical="center" wrapText="1"/>
    </xf>
    <xf numFmtId="164" fontId="16" fillId="0" borderId="4" xfId="160" applyNumberFormat="1" applyFont="1" applyFill="1" applyBorder="1" applyAlignment="1">
      <alignment horizontal="left" vertical="center" wrapText="1"/>
    </xf>
    <xf numFmtId="164" fontId="16" fillId="0" borderId="5" xfId="160" applyNumberFormat="1" applyFont="1" applyFill="1" applyBorder="1" applyAlignment="1">
      <alignment horizontal="right" vertical="center"/>
    </xf>
    <xf numFmtId="164" fontId="16" fillId="0" borderId="60" xfId="160" applyNumberFormat="1" applyFont="1" applyFill="1" applyBorder="1" applyAlignment="1">
      <alignment horizontal="right" vertical="center"/>
    </xf>
    <xf numFmtId="164" fontId="16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6" fillId="0" borderId="7" xfId="160" applyNumberFormat="1" applyFont="1" applyFill="1" applyBorder="1" applyAlignment="1">
      <alignment horizontal="left" vertical="center" wrapText="1"/>
    </xf>
    <xf numFmtId="164" fontId="16" fillId="0" borderId="8" xfId="160" applyNumberFormat="1" applyFont="1" applyFill="1" applyBorder="1" applyAlignment="1">
      <alignment horizontal="right" vertical="center"/>
    </xf>
    <xf numFmtId="164" fontId="16" fillId="0" borderId="55" xfId="160" applyNumberFormat="1" applyFont="1" applyFill="1" applyBorder="1" applyAlignment="1">
      <alignment horizontal="right" vertical="center"/>
    </xf>
    <xf numFmtId="164" fontId="16" fillId="0" borderId="9" xfId="160" applyNumberFormat="1" applyFont="1" applyFill="1" applyBorder="1" applyAlignment="1">
      <alignment horizontal="right" vertical="center"/>
    </xf>
    <xf numFmtId="164" fontId="16" fillId="0" borderId="22" xfId="160" applyNumberFormat="1" applyFont="1" applyFill="1" applyBorder="1" applyAlignment="1">
      <alignment horizontal="left" vertical="center" wrapText="1"/>
    </xf>
    <xf numFmtId="164" fontId="16" fillId="0" borderId="18" xfId="160" applyNumberFormat="1" applyFont="1" applyFill="1" applyBorder="1" applyAlignment="1">
      <alignment horizontal="right" vertical="center"/>
    </xf>
    <xf numFmtId="164" fontId="16" fillId="0" borderId="61" xfId="160" applyNumberFormat="1" applyFont="1" applyFill="1" applyBorder="1" applyAlignment="1">
      <alignment horizontal="right" vertical="center"/>
    </xf>
    <xf numFmtId="164" fontId="16" fillId="0" borderId="62" xfId="160" applyNumberFormat="1" applyFont="1" applyFill="1" applyBorder="1" applyAlignment="1">
      <alignment horizontal="right" vertical="center"/>
    </xf>
    <xf numFmtId="164" fontId="20" fillId="0" borderId="26" xfId="160" applyNumberFormat="1" applyFont="1" applyFill="1" applyBorder="1" applyAlignment="1">
      <alignment horizontal="center" vertical="center" wrapText="1"/>
    </xf>
    <xf numFmtId="164" fontId="16" fillId="0" borderId="8" xfId="160" applyNumberFormat="1" applyFont="1" applyFill="1" applyBorder="1" applyAlignment="1">
      <alignment horizontal="right" vertical="center" wrapText="1"/>
    </xf>
    <xf numFmtId="164" fontId="16" fillId="0" borderId="55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6" fillId="0" borderId="18" xfId="160" applyNumberFormat="1" applyFont="1" applyFill="1" applyBorder="1" applyAlignment="1">
      <alignment horizontal="right" vertical="center" wrapText="1"/>
    </xf>
    <xf numFmtId="164" fontId="16" fillId="0" borderId="61" xfId="160" applyNumberFormat="1" applyFont="1" applyFill="1" applyBorder="1" applyAlignment="1">
      <alignment horizontal="right" vertical="center" wrapText="1"/>
    </xf>
    <xf numFmtId="164" fontId="95" fillId="0" borderId="2" xfId="160" applyNumberFormat="1" applyFont="1" applyFill="1" applyBorder="1" applyAlignment="1">
      <alignment horizontal="right" vertical="center" wrapText="1"/>
    </xf>
    <xf numFmtId="164" fontId="95" fillId="0" borderId="59" xfId="160" applyNumberFormat="1" applyFont="1" applyFill="1" applyBorder="1" applyAlignment="1">
      <alignment horizontal="right" vertical="center" wrapText="1"/>
    </xf>
    <xf numFmtId="164" fontId="95" fillId="0" borderId="3" xfId="160" applyNumberFormat="1" applyFont="1" applyFill="1" applyBorder="1" applyAlignment="1">
      <alignment horizontal="right" vertical="center"/>
    </xf>
    <xf numFmtId="164" fontId="58" fillId="0" borderId="0" xfId="160" applyNumberFormat="1" applyFont="1" applyFill="1" applyBorder="1" applyAlignment="1">
      <alignment horizontal="left" vertical="center" wrapText="1"/>
    </xf>
    <xf numFmtId="164" fontId="58" fillId="0" borderId="0" xfId="160" applyNumberFormat="1" applyFont="1" applyFill="1" applyBorder="1" applyAlignment="1">
      <alignment horizontal="right" vertical="center" wrapText="1"/>
    </xf>
    <xf numFmtId="49" fontId="24" fillId="0" borderId="0" xfId="0" applyNumberFormat="1" applyFont="1" applyFill="1" applyBorder="1" applyAlignment="1" applyProtection="1">
      <alignment vertical="center"/>
    </xf>
    <xf numFmtId="0" fontId="91" fillId="0" borderId="0" xfId="0" applyFont="1" applyFill="1" applyBorder="1" applyAlignment="1" applyProtection="1"/>
    <xf numFmtId="0" fontId="0" fillId="0" borderId="0" xfId="0" applyFill="1" applyBorder="1" applyAlignment="1"/>
    <xf numFmtId="0" fontId="92" fillId="0" borderId="0" xfId="0" applyFont="1" applyFill="1" applyBorder="1" applyAlignment="1" applyProtection="1">
      <protection locked="0"/>
    </xf>
    <xf numFmtId="164" fontId="16" fillId="0" borderId="0" xfId="16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vertical="center"/>
    </xf>
    <xf numFmtId="164" fontId="68" fillId="0" borderId="0" xfId="161" applyNumberFormat="1" applyFont="1" applyFill="1" applyBorder="1" applyAlignment="1" applyProtection="1">
      <alignment horizontal="center" vertical="center"/>
    </xf>
    <xf numFmtId="164" fontId="68" fillId="0" borderId="0" xfId="0" applyNumberFormat="1" applyFont="1" applyFill="1" applyBorder="1" applyAlignment="1">
      <alignment horizontal="center" vertical="center"/>
    </xf>
    <xf numFmtId="164" fontId="68" fillId="0" borderId="0" xfId="159" applyNumberFormat="1" applyFont="1" applyBorder="1" applyAlignment="1">
      <alignment horizontal="center" vertical="center"/>
    </xf>
    <xf numFmtId="164" fontId="68" fillId="0" borderId="0" xfId="161" applyNumberFormat="1" applyFont="1" applyFill="1" applyBorder="1" applyAlignment="1" applyProtection="1">
      <alignment horizontal="left" vertical="center" indent="1"/>
    </xf>
    <xf numFmtId="164" fontId="68" fillId="0" borderId="0" xfId="161" applyNumberFormat="1" applyFont="1" applyFill="1" applyBorder="1" applyAlignment="1" applyProtection="1">
      <alignment horizontal="center" vertical="center" wrapText="1"/>
    </xf>
    <xf numFmtId="0" fontId="23" fillId="0" borderId="24" xfId="0" applyFont="1" applyBorder="1" applyAlignment="1">
      <alignment horizontal="right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8" fillId="0" borderId="0" xfId="159" applyNumberFormat="1" applyFont="1" applyBorder="1" applyAlignment="1">
      <alignment vertical="center" wrapText="1"/>
    </xf>
    <xf numFmtId="164" fontId="68" fillId="0" borderId="0" xfId="161" applyNumberFormat="1" applyFont="1" applyFill="1" applyBorder="1" applyAlignment="1" applyProtection="1">
      <alignment vertical="center" wrapText="1"/>
    </xf>
    <xf numFmtId="164" fontId="68" fillId="0" borderId="0" xfId="159" applyNumberFormat="1" applyFont="1" applyBorder="1" applyAlignment="1">
      <alignment horizontal="center" vertical="center" wrapText="1"/>
    </xf>
    <xf numFmtId="164" fontId="68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1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8" fillId="0" borderId="30" xfId="0" applyNumberFormat="1" applyFont="1" applyFill="1" applyBorder="1" applyAlignment="1" applyProtection="1">
      <alignment horizontal="right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8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9" fillId="0" borderId="32" xfId="0" applyFont="1" applyFill="1" applyBorder="1" applyAlignment="1" applyProtection="1">
      <alignment horizontal="center" vertical="center" wrapText="1"/>
    </xf>
    <xf numFmtId="164" fontId="70" fillId="0" borderId="32" xfId="0" applyNumberFormat="1" applyFont="1" applyFill="1" applyBorder="1" applyAlignment="1" applyProtection="1">
      <alignment horizontal="right" vertical="center" wrapText="1"/>
    </xf>
    <xf numFmtId="0" fontId="7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9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4" fontId="17" fillId="0" borderId="47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7" xfId="171" applyFont="1" applyFill="1" applyBorder="1" applyAlignment="1" applyProtection="1">
      <alignment horizontal="left" vertical="center" indent="1"/>
    </xf>
    <xf numFmtId="0" fontId="96" fillId="0" borderId="57" xfId="171" applyFont="1" applyFill="1" applyBorder="1" applyAlignment="1" applyProtection="1">
      <alignment horizontal="left" vertical="center" indent="1"/>
    </xf>
    <xf numFmtId="164" fontId="97" fillId="0" borderId="57" xfId="171" applyNumberFormat="1" applyFont="1" applyFill="1" applyBorder="1" applyProtection="1"/>
    <xf numFmtId="164" fontId="97" fillId="0" borderId="68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3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4" fillId="0" borderId="0" xfId="172" applyFont="1"/>
    <xf numFmtId="0" fontId="58" fillId="0" borderId="36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0" fontId="58" fillId="0" borderId="48" xfId="172" applyFont="1" applyBorder="1" applyAlignment="1">
      <alignment horizontal="center" vertical="center" wrapText="1"/>
    </xf>
    <xf numFmtId="3" fontId="58" fillId="0" borderId="65" xfId="172" applyNumberFormat="1" applyFont="1" applyBorder="1" applyAlignment="1">
      <alignment horizontal="center" vertical="center"/>
    </xf>
    <xf numFmtId="3" fontId="58" fillId="0" borderId="11" xfId="172" applyNumberFormat="1" applyFont="1" applyBorder="1" applyAlignment="1">
      <alignment horizontal="center" vertical="center"/>
    </xf>
    <xf numFmtId="3" fontId="58" fillId="0" borderId="12" xfId="172" applyNumberFormat="1" applyFont="1" applyBorder="1" applyAlignment="1">
      <alignment horizontal="center" vertical="center"/>
    </xf>
    <xf numFmtId="0" fontId="105" fillId="0" borderId="0" xfId="172" applyFont="1" applyAlignment="1">
      <alignment horizontal="center" vertical="center" wrapText="1"/>
    </xf>
    <xf numFmtId="0" fontId="105" fillId="0" borderId="0" xfId="172" applyFont="1"/>
    <xf numFmtId="3" fontId="60" fillId="0" borderId="62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107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103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6" fillId="0" borderId="63" xfId="173" applyFont="1" applyBorder="1" applyAlignment="1"/>
    <xf numFmtId="0" fontId="106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95" fillId="0" borderId="1" xfId="160" applyNumberFormat="1" applyFont="1" applyFill="1" applyBorder="1" applyAlignment="1">
      <alignment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1" fillId="0" borderId="0" xfId="175" applyFont="1"/>
    <xf numFmtId="0" fontId="61" fillId="0" borderId="35" xfId="175" applyFont="1" applyBorder="1" applyAlignment="1">
      <alignment horizontal="center" vertical="center"/>
    </xf>
    <xf numFmtId="164" fontId="66" fillId="0" borderId="6" xfId="35" applyNumberFormat="1" applyFont="1" applyBorder="1" applyAlignment="1">
      <alignment horizontal="right" vertical="center"/>
    </xf>
    <xf numFmtId="0" fontId="61" fillId="0" borderId="37" xfId="175" applyFont="1" applyBorder="1" applyAlignment="1">
      <alignment horizontal="center" vertical="center"/>
    </xf>
    <xf numFmtId="164" fontId="66" fillId="0" borderId="9" xfId="35" applyNumberFormat="1" applyFont="1" applyBorder="1" applyAlignment="1">
      <alignment horizontal="right" vertical="center"/>
    </xf>
    <xf numFmtId="0" fontId="29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166" fontId="66" fillId="0" borderId="8" xfId="177" applyNumberFormat="1" applyFont="1" applyFill="1" applyBorder="1" applyAlignment="1">
      <alignment horizontal="center" vertical="center"/>
    </xf>
    <xf numFmtId="0" fontId="66" fillId="0" borderId="8" xfId="176" applyFont="1" applyBorder="1" applyAlignment="1">
      <alignment wrapText="1"/>
    </xf>
    <xf numFmtId="166" fontId="66" fillId="0" borderId="8" xfId="177" applyNumberFormat="1" applyFont="1" applyBorder="1" applyAlignment="1">
      <alignment vertical="center"/>
    </xf>
    <xf numFmtId="0" fontId="66" fillId="0" borderId="5" xfId="176" applyFont="1" applyFill="1" applyBorder="1" applyAlignment="1">
      <alignment wrapText="1"/>
    </xf>
    <xf numFmtId="166" fontId="66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14" fontId="98" fillId="0" borderId="11" xfId="0" applyNumberFormat="1" applyFont="1" applyFill="1" applyBorder="1" applyAlignment="1"/>
    <xf numFmtId="3" fontId="58" fillId="0" borderId="12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8" fillId="0" borderId="36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0" fontId="60" fillId="0" borderId="1" xfId="48" applyFont="1" applyBorder="1" applyAlignment="1">
      <alignment horizontal="center" vertical="center" wrapText="1"/>
    </xf>
    <xf numFmtId="166" fontId="60" fillId="0" borderId="3" xfId="35" applyNumberFormat="1" applyFont="1" applyBorder="1" applyAlignment="1">
      <alignment horizontal="center" vertical="center" wrapText="1"/>
    </xf>
    <xf numFmtId="3" fontId="61" fillId="0" borderId="0" xfId="48" applyNumberFormat="1" applyFont="1"/>
    <xf numFmtId="3" fontId="69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0" fontId="58" fillId="0" borderId="4" xfId="48" applyFont="1" applyBorder="1" applyAlignment="1">
      <alignment horizontal="center" vertical="center"/>
    </xf>
    <xf numFmtId="0" fontId="58" fillId="0" borderId="7" xfId="48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/>
    </xf>
    <xf numFmtId="166" fontId="60" fillId="0" borderId="3" xfId="35" applyNumberFormat="1" applyFont="1" applyBorder="1" applyAlignment="1">
      <alignment vertical="center"/>
    </xf>
    <xf numFmtId="166" fontId="60" fillId="0" borderId="68" xfId="35" applyNumberFormat="1" applyFont="1" applyBorder="1" applyAlignment="1">
      <alignment vertical="center"/>
    </xf>
    <xf numFmtId="164" fontId="16" fillId="0" borderId="74" xfId="67" applyNumberFormat="1" applyFont="1" applyBorder="1" applyAlignment="1">
      <alignment horizontal="center" vertical="center" wrapText="1"/>
    </xf>
    <xf numFmtId="167" fontId="20" fillId="0" borderId="59" xfId="67" applyNumberFormat="1" applyFont="1" applyBorder="1" applyAlignment="1">
      <alignment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60" fillId="0" borderId="67" xfId="67" applyNumberFormat="1" applyFont="1" applyBorder="1" applyAlignment="1">
      <alignment vertical="center" wrapText="1"/>
    </xf>
    <xf numFmtId="164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5" fontId="20" fillId="0" borderId="57" xfId="67" applyNumberFormat="1" applyFont="1" applyBorder="1" applyAlignment="1">
      <alignment vertical="center"/>
    </xf>
    <xf numFmtId="165" fontId="16" fillId="0" borderId="57" xfId="67" applyNumberFormat="1" applyFont="1" applyBorder="1" applyAlignment="1">
      <alignment vertical="center"/>
    </xf>
    <xf numFmtId="0" fontId="61" fillId="0" borderId="5" xfId="173" applyFont="1" applyBorder="1" applyAlignment="1">
      <alignment horizontal="left" vertical="center" wrapText="1"/>
    </xf>
    <xf numFmtId="0" fontId="61" fillId="0" borderId="4" xfId="173" applyFont="1" applyBorder="1" applyAlignment="1">
      <alignment horizontal="center" vertical="center"/>
    </xf>
    <xf numFmtId="0" fontId="61" fillId="0" borderId="5" xfId="173" applyFont="1" applyBorder="1" applyAlignment="1">
      <alignment vertical="center" wrapText="1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3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3" fontId="61" fillId="0" borderId="6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67" xfId="173" applyFont="1" applyBorder="1" applyAlignment="1">
      <alignment horizontal="center" vertical="center"/>
    </xf>
    <xf numFmtId="0" fontId="103" fillId="0" borderId="24" xfId="173" applyFont="1" applyBorder="1" applyAlignment="1">
      <alignment vertical="center"/>
    </xf>
    <xf numFmtId="3" fontId="103" fillId="0" borderId="69" xfId="173" applyNumberFormat="1" applyFont="1" applyBorder="1" applyAlignment="1">
      <alignment vertical="center"/>
    </xf>
    <xf numFmtId="0" fontId="111" fillId="0" borderId="4" xfId="0" applyFont="1" applyBorder="1" applyAlignment="1">
      <alignment horizontal="left" vertical="center" wrapText="1"/>
    </xf>
    <xf numFmtId="0" fontId="111" fillId="0" borderId="7" xfId="0" applyFont="1" applyBorder="1" applyAlignment="1">
      <alignment horizontal="left" vertical="center" wrapText="1"/>
    </xf>
    <xf numFmtId="0" fontId="111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2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1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164" fontId="66" fillId="0" borderId="12" xfId="35" applyNumberFormat="1" applyFont="1" applyBorder="1" applyAlignment="1">
      <alignment horizontal="right" vertical="center"/>
    </xf>
    <xf numFmtId="164" fontId="108" fillId="0" borderId="3" xfId="35" applyNumberFormat="1" applyFont="1" applyBorder="1" applyAlignment="1">
      <alignment horizontal="right" vertical="center"/>
    </xf>
    <xf numFmtId="164" fontId="66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66" xfId="174" applyFont="1" applyFill="1" applyBorder="1" applyAlignment="1">
      <alignment vertical="center" wrapText="1"/>
    </xf>
    <xf numFmtId="49" fontId="114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3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6" xfId="174" applyFont="1" applyFill="1" applyBorder="1" applyAlignment="1">
      <alignment horizontal="center" vertical="center" wrapText="1"/>
    </xf>
    <xf numFmtId="0" fontId="58" fillId="0" borderId="66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4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16" fillId="0" borderId="20" xfId="160" applyNumberFormat="1" applyFont="1" applyFill="1" applyBorder="1" applyAlignment="1">
      <alignment horizontal="left" vertical="center" wrapText="1"/>
    </xf>
    <xf numFmtId="164" fontId="16" fillId="0" borderId="21" xfId="160" applyNumberFormat="1" applyFont="1" applyFill="1" applyBorder="1" applyAlignment="1">
      <alignment horizontal="right" vertical="center"/>
    </xf>
    <xf numFmtId="164" fontId="95" fillId="0" borderId="3" xfId="160" applyNumberFormat="1" applyFont="1" applyFill="1" applyBorder="1" applyAlignment="1">
      <alignment horizontal="right" vertical="center" wrapText="1"/>
    </xf>
    <xf numFmtId="0" fontId="17" fillId="0" borderId="59" xfId="0" applyFont="1" applyBorder="1" applyAlignment="1">
      <alignment horizontal="center" vertical="center" wrapText="1"/>
    </xf>
    <xf numFmtId="164" fontId="20" fillId="0" borderId="3" xfId="161" applyNumberFormat="1" applyFont="1" applyFill="1" applyBorder="1" applyAlignment="1" applyProtection="1">
      <alignment horizontal="right" vertical="center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5" xfId="0" applyNumberFormat="1" applyFont="1" applyBorder="1" applyAlignment="1">
      <alignment horizontal="right" vertical="center"/>
    </xf>
    <xf numFmtId="3" fontId="16" fillId="0" borderId="18" xfId="161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>
      <alignment horizontal="right" vertical="center"/>
    </xf>
    <xf numFmtId="3" fontId="16" fillId="0" borderId="18" xfId="159" applyNumberFormat="1" applyFont="1" applyBorder="1" applyAlignment="1">
      <alignment horizontal="right" vertical="center"/>
    </xf>
    <xf numFmtId="3" fontId="0" fillId="0" borderId="61" xfId="0" applyNumberFormat="1" applyFont="1" applyBorder="1" applyAlignment="1">
      <alignment horizontal="right"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0" xfId="0" applyFont="1" applyBorder="1" applyAlignment="1">
      <alignment horizontal="right" vertical="center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16" fillId="0" borderId="57" xfId="161" applyNumberFormat="1" applyFont="1" applyFill="1" applyBorder="1" applyAlignment="1" applyProtection="1">
      <alignment horizontal="right" vertical="center"/>
    </xf>
    <xf numFmtId="164" fontId="16" fillId="0" borderId="57" xfId="0" applyNumberFormat="1" applyFont="1" applyFill="1" applyBorder="1" applyAlignment="1">
      <alignment horizontal="right" vertical="center"/>
    </xf>
    <xf numFmtId="164" fontId="16" fillId="0" borderId="57" xfId="159" applyNumberFormat="1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16" fillId="0" borderId="67" xfId="161" applyNumberFormat="1" applyFont="1" applyFill="1" applyBorder="1" applyAlignment="1" applyProtection="1">
      <alignment horizontal="center" vertical="center" wrapText="1"/>
    </xf>
    <xf numFmtId="0" fontId="0" fillId="0" borderId="74" xfId="0" applyFont="1" applyBorder="1" applyAlignment="1">
      <alignment horizontal="right" vertical="center"/>
    </xf>
    <xf numFmtId="3" fontId="0" fillId="0" borderId="70" xfId="0" applyNumberFormat="1" applyFont="1" applyBorder="1" applyAlignment="1">
      <alignment horizontal="right" vertical="center"/>
    </xf>
    <xf numFmtId="3" fontId="0" fillId="0" borderId="74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8" xfId="0" applyFont="1" applyBorder="1" applyAlignment="1">
      <alignment horizontal="right" vertical="center"/>
    </xf>
    <xf numFmtId="0" fontId="16" fillId="0" borderId="55" xfId="0" applyFont="1" applyBorder="1" applyAlignment="1">
      <alignment horizontal="right" vertical="center"/>
    </xf>
    <xf numFmtId="164" fontId="16" fillId="0" borderId="32" xfId="0" applyNumberFormat="1" applyFont="1" applyBorder="1" applyAlignment="1">
      <alignment horizontal="right"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0" fontId="95" fillId="0" borderId="0" xfId="0" applyFont="1" applyBorder="1"/>
    <xf numFmtId="164" fontId="68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horizontal="left" vertical="center" indent="1"/>
    </xf>
    <xf numFmtId="164" fontId="68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16" fillId="0" borderId="7" xfId="161" applyNumberFormat="1" applyFont="1" applyFill="1" applyBorder="1" applyAlignment="1" applyProtection="1">
      <alignment horizontal="center" vertical="center" wrapText="1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98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8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4" fontId="70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70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4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4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164" fontId="98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4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7" fillId="0" borderId="1" xfId="0" applyFont="1" applyFill="1" applyBorder="1" applyAlignment="1" applyProtection="1">
      <alignment horizontal="center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164" fontId="98" fillId="0" borderId="13" xfId="0" applyNumberFormat="1" applyFont="1" applyFill="1" applyBorder="1" applyAlignment="1" applyProtection="1">
      <alignment horizontal="right" vertical="center" wrapText="1"/>
    </xf>
    <xf numFmtId="164" fontId="98" fillId="0" borderId="14" xfId="0" applyNumberFormat="1" applyFont="1" applyFill="1" applyBorder="1" applyAlignment="1" applyProtection="1">
      <alignment horizontal="right" vertical="center" wrapText="1"/>
    </xf>
    <xf numFmtId="164" fontId="98" fillId="0" borderId="7" xfId="0" applyNumberFormat="1" applyFont="1" applyFill="1" applyBorder="1" applyAlignment="1" applyProtection="1">
      <alignment horizontal="right" vertical="center" wrapText="1"/>
    </xf>
    <xf numFmtId="164" fontId="98" fillId="0" borderId="8" xfId="0" applyNumberFormat="1" applyFont="1" applyFill="1" applyBorder="1" applyAlignment="1" applyProtection="1">
      <alignment horizontal="right" vertical="center" wrapText="1"/>
    </xf>
    <xf numFmtId="164" fontId="98" fillId="0" borderId="10" xfId="0" applyNumberFormat="1" applyFont="1" applyFill="1" applyBorder="1" applyAlignment="1" applyProtection="1">
      <alignment horizontal="right" vertical="center" wrapText="1"/>
    </xf>
    <xf numFmtId="164" fontId="98" fillId="0" borderId="11" xfId="0" applyNumberFormat="1" applyFont="1" applyFill="1" applyBorder="1" applyAlignment="1" applyProtection="1">
      <alignment horizontal="right" vertical="center" wrapText="1"/>
    </xf>
    <xf numFmtId="164" fontId="70" fillId="0" borderId="1" xfId="0" applyNumberFormat="1" applyFont="1" applyFill="1" applyBorder="1" applyAlignment="1" applyProtection="1">
      <alignment horizontal="right" vertical="center" wrapText="1"/>
    </xf>
    <xf numFmtId="164" fontId="70" fillId="0" borderId="2" xfId="0" applyNumberFormat="1" applyFont="1" applyFill="1" applyBorder="1" applyAlignment="1" applyProtection="1">
      <alignment horizontal="right" vertical="center" wrapText="1"/>
    </xf>
    <xf numFmtId="164" fontId="70" fillId="0" borderId="4" xfId="0" applyNumberFormat="1" applyFont="1" applyFill="1" applyBorder="1" applyAlignment="1" applyProtection="1">
      <alignment horizontal="right" vertical="center" wrapText="1"/>
    </xf>
    <xf numFmtId="164" fontId="70" fillId="0" borderId="5" xfId="0" applyNumberFormat="1" applyFont="1" applyFill="1" applyBorder="1" applyAlignment="1" applyProtection="1">
      <alignment horizontal="right" vertical="center" wrapText="1"/>
    </xf>
    <xf numFmtId="164" fontId="70" fillId="0" borderId="7" xfId="0" applyNumberFormat="1" applyFont="1" applyFill="1" applyBorder="1" applyAlignment="1" applyProtection="1">
      <alignment horizontal="right" vertical="center" wrapText="1"/>
    </xf>
    <xf numFmtId="164" fontId="70" fillId="0" borderId="8" xfId="0" applyNumberFormat="1" applyFont="1" applyFill="1" applyBorder="1" applyAlignment="1" applyProtection="1">
      <alignment horizontal="right" vertical="center" wrapText="1"/>
    </xf>
    <xf numFmtId="164" fontId="70" fillId="0" borderId="10" xfId="0" applyNumberFormat="1" applyFont="1" applyFill="1" applyBorder="1" applyAlignment="1" applyProtection="1">
      <alignment horizontal="right" vertical="center" wrapText="1"/>
    </xf>
    <xf numFmtId="164" fontId="70" fillId="0" borderId="11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7" xfId="1" applyNumberFormat="1" applyFont="1" applyFill="1" applyBorder="1" applyAlignment="1" applyProtection="1">
      <alignment vertical="center" wrapText="1"/>
    </xf>
    <xf numFmtId="164" fontId="17" fillId="0" borderId="57" xfId="1" applyNumberFormat="1" applyFont="1" applyFill="1" applyBorder="1" applyAlignment="1" applyProtection="1">
      <alignment vertical="center" wrapText="1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164" fontId="16" fillId="0" borderId="30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3" fontId="16" fillId="0" borderId="55" xfId="0" applyNumberFormat="1" applyFont="1" applyBorder="1" applyAlignment="1">
      <alignment horizontal="right" vertical="center"/>
    </xf>
    <xf numFmtId="164" fontId="16" fillId="0" borderId="34" xfId="0" applyNumberFormat="1" applyFont="1" applyBorder="1" applyAlignment="1">
      <alignment horizontal="right" vertical="center"/>
    </xf>
    <xf numFmtId="3" fontId="20" fillId="0" borderId="2" xfId="161" applyNumberFormat="1" applyFont="1" applyFill="1" applyBorder="1" applyAlignment="1" applyProtection="1">
      <alignment horizontal="right" vertical="center"/>
    </xf>
    <xf numFmtId="3" fontId="20" fillId="0" borderId="3" xfId="161" applyNumberFormat="1" applyFont="1" applyFill="1" applyBorder="1" applyAlignment="1" applyProtection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3" fontId="17" fillId="0" borderId="75" xfId="0" applyNumberFormat="1" applyFont="1" applyBorder="1" applyAlignment="1">
      <alignment horizontal="right" vertical="center"/>
    </xf>
    <xf numFmtId="3" fontId="20" fillId="0" borderId="21" xfId="161" applyNumberFormat="1" applyFont="1" applyFill="1" applyBorder="1" applyAlignment="1" applyProtection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3" fontId="16" fillId="0" borderId="14" xfId="161" applyNumberFormat="1" applyFont="1" applyFill="1" applyBorder="1" applyAlignment="1" applyProtection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4" xfId="159" applyNumberFormat="1" applyFont="1" applyBorder="1" applyAlignment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3" fontId="17" fillId="0" borderId="50" xfId="0" applyNumberFormat="1" applyFont="1" applyBorder="1" applyAlignment="1">
      <alignment horizontal="right" vertical="center"/>
    </xf>
    <xf numFmtId="3" fontId="16" fillId="0" borderId="9" xfId="161" applyNumberFormat="1" applyFont="1" applyFill="1" applyBorder="1" applyAlignment="1" applyProtection="1">
      <alignment horizontal="right" vertical="center"/>
    </xf>
    <xf numFmtId="3" fontId="0" fillId="0" borderId="23" xfId="0" applyNumberFormat="1" applyFont="1" applyBorder="1" applyAlignment="1">
      <alignment horizontal="right" vertical="center"/>
    </xf>
    <xf numFmtId="164" fontId="16" fillId="0" borderId="50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69" xfId="67" applyNumberFormat="1" applyFont="1" applyBorder="1" applyAlignment="1">
      <alignment vertical="center"/>
    </xf>
    <xf numFmtId="164" fontId="16" fillId="0" borderId="68" xfId="67" applyNumberFormat="1" applyFont="1" applyBorder="1" applyAlignment="1">
      <alignment horizontal="center" vertical="center" wrapText="1"/>
    </xf>
    <xf numFmtId="165" fontId="20" fillId="0" borderId="68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4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  <protection locked="0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6" fillId="0" borderId="8" xfId="176" applyFont="1" applyBorder="1" applyAlignment="1">
      <alignment vertical="center" wrapText="1"/>
    </xf>
    <xf numFmtId="166" fontId="66" fillId="0" borderId="8" xfId="177" applyNumberFormat="1" applyFont="1" applyBorder="1" applyAlignment="1">
      <alignment horizontal="center" vertical="center"/>
    </xf>
    <xf numFmtId="0" fontId="66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6" fillId="0" borderId="11" xfId="176" applyFont="1" applyBorder="1" applyAlignment="1">
      <alignment vertical="center" wrapText="1" shrinkToFit="1"/>
    </xf>
    <xf numFmtId="166" fontId="66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8" fillId="0" borderId="66" xfId="176" applyFont="1" applyFill="1" applyBorder="1" applyAlignment="1">
      <alignment wrapText="1"/>
    </xf>
    <xf numFmtId="166" fontId="58" fillId="0" borderId="66" xfId="177" applyNumberFormat="1" applyFont="1" applyBorder="1" applyAlignment="1">
      <alignment horizontal="center"/>
    </xf>
    <xf numFmtId="166" fontId="98" fillId="0" borderId="53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166" fontId="58" fillId="0" borderId="5" xfId="177" applyNumberFormat="1" applyFont="1" applyBorder="1" applyAlignment="1">
      <alignment horizontal="center"/>
    </xf>
    <xf numFmtId="0" fontId="58" fillId="0" borderId="8" xfId="176" applyFont="1" applyBorder="1" applyAlignment="1">
      <alignment wrapText="1"/>
    </xf>
    <xf numFmtId="166" fontId="58" fillId="0" borderId="8" xfId="177" applyNumberFormat="1" applyFont="1" applyFill="1" applyBorder="1" applyAlignment="1">
      <alignment horizontal="center"/>
    </xf>
    <xf numFmtId="0" fontId="58" fillId="0" borderId="8" xfId="176" applyFont="1" applyFill="1" applyBorder="1" applyAlignment="1">
      <alignment wrapText="1"/>
    </xf>
    <xf numFmtId="166" fontId="58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8" fillId="0" borderId="11" xfId="176" applyFont="1" applyFill="1" applyBorder="1" applyAlignment="1">
      <alignment wrapText="1"/>
    </xf>
    <xf numFmtId="166" fontId="116" fillId="0" borderId="11" xfId="177" applyNumberFormat="1" applyFont="1" applyFill="1" applyBorder="1" applyAlignment="1"/>
    <xf numFmtId="0" fontId="99" fillId="0" borderId="67" xfId="1" applyFont="1" applyFill="1" applyBorder="1" applyAlignment="1" applyProtection="1">
      <alignment horizontal="center" vertical="center"/>
    </xf>
    <xf numFmtId="0" fontId="99" fillId="0" borderId="57" xfId="1" applyFont="1" applyFill="1" applyBorder="1" applyAlignment="1" applyProtection="1">
      <alignment horizontal="left" vertical="center" wrapText="1"/>
    </xf>
    <xf numFmtId="166" fontId="99" fillId="0" borderId="57" xfId="177" applyNumberFormat="1" applyFont="1" applyFill="1" applyBorder="1" applyAlignment="1" applyProtection="1">
      <alignment vertical="center"/>
    </xf>
    <xf numFmtId="166" fontId="99" fillId="0" borderId="68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5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0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30" xfId="0" applyFont="1" applyBorder="1" applyAlignment="1">
      <alignment vertical="center" wrapText="1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8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8" xfId="0" applyFont="1" applyBorder="1" applyAlignment="1">
      <alignment vertical="center"/>
    </xf>
    <xf numFmtId="0" fontId="99" fillId="0" borderId="25" xfId="1" applyFont="1" applyFill="1" applyBorder="1" applyAlignment="1" applyProtection="1">
      <alignment horizontal="left" vertical="center" wrapText="1"/>
    </xf>
    <xf numFmtId="0" fontId="99" fillId="0" borderId="47" xfId="1" applyFont="1" applyFill="1" applyBorder="1" applyAlignment="1" applyProtection="1">
      <alignment horizontal="left" vertical="center" wrapText="1"/>
    </xf>
    <xf numFmtId="0" fontId="98" fillId="0" borderId="32" xfId="1" applyFont="1" applyFill="1" applyBorder="1" applyAlignment="1" applyProtection="1">
      <alignment horizontal="left" vertical="center" wrapText="1"/>
    </xf>
    <xf numFmtId="0" fontId="117" fillId="0" borderId="32" xfId="1" applyFont="1" applyFill="1" applyBorder="1" applyAlignment="1" applyProtection="1">
      <alignment horizontal="left" vertical="center" wrapText="1" indent="4"/>
    </xf>
    <xf numFmtId="0" fontId="117" fillId="0" borderId="32" xfId="1" applyFont="1" applyFill="1" applyBorder="1" applyAlignment="1" applyProtection="1">
      <alignment horizontal="left" vertical="center" wrapText="1" indent="1"/>
    </xf>
    <xf numFmtId="0" fontId="117" fillId="0" borderId="48" xfId="1" applyFont="1" applyFill="1" applyBorder="1" applyAlignment="1" applyProtection="1">
      <alignment horizontal="left" vertical="center" wrapText="1" indent="6"/>
    </xf>
    <xf numFmtId="49" fontId="71" fillId="0" borderId="36" xfId="1" applyNumberFormat="1" applyFont="1" applyFill="1" applyBorder="1" applyAlignment="1" applyProtection="1">
      <alignment horizontal="center" vertical="center" wrapText="1"/>
    </xf>
    <xf numFmtId="0" fontId="71" fillId="0" borderId="36" xfId="1" applyFont="1" applyFill="1" applyBorder="1" applyAlignment="1" applyProtection="1">
      <alignment horizontal="left" vertical="center" wrapText="1" indent="1"/>
    </xf>
    <xf numFmtId="0" fontId="71" fillId="0" borderId="36" xfId="1" applyFont="1" applyFill="1" applyBorder="1" applyAlignment="1" applyProtection="1">
      <alignment horizontal="center" vertical="center" wrapText="1"/>
    </xf>
    <xf numFmtId="164" fontId="71" fillId="0" borderId="36" xfId="1" applyNumberFormat="1" applyFont="1" applyFill="1" applyBorder="1" applyAlignment="1" applyProtection="1">
      <alignment vertical="center" wrapText="1"/>
      <protection locked="0"/>
    </xf>
    <xf numFmtId="49" fontId="71" fillId="0" borderId="32" xfId="1" applyNumberFormat="1" applyFont="1" applyFill="1" applyBorder="1" applyAlignment="1" applyProtection="1">
      <alignment horizontal="center" vertical="center" wrapText="1"/>
    </xf>
    <xf numFmtId="0" fontId="71" fillId="0" borderId="32" xfId="1" applyFont="1" applyFill="1" applyBorder="1" applyAlignment="1" applyProtection="1">
      <alignment horizontal="left" vertical="center" wrapText="1" indent="1"/>
    </xf>
    <xf numFmtId="0" fontId="71" fillId="0" borderId="32" xfId="1" applyFont="1" applyFill="1" applyBorder="1" applyAlignment="1" applyProtection="1">
      <alignment horizontal="center" vertical="center" wrapText="1"/>
    </xf>
    <xf numFmtId="164" fontId="71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48" xfId="1" applyNumberFormat="1" applyFont="1" applyFill="1" applyBorder="1" applyAlignment="1" applyProtection="1">
      <alignment horizontal="center" vertical="center" wrapText="1"/>
    </xf>
    <xf numFmtId="0" fontId="70" fillId="0" borderId="48" xfId="1" applyFont="1" applyFill="1" applyBorder="1" applyAlignment="1" applyProtection="1">
      <alignment horizontal="left" vertical="center" wrapText="1" indent="1"/>
    </xf>
    <xf numFmtId="0" fontId="70" fillId="0" borderId="48" xfId="1" applyFont="1" applyFill="1" applyBorder="1" applyAlignment="1" applyProtection="1">
      <alignment horizontal="center" vertical="center" wrapText="1"/>
    </xf>
    <xf numFmtId="164" fontId="70" fillId="0" borderId="48" xfId="1" applyNumberFormat="1" applyFont="1" applyFill="1" applyBorder="1" applyAlignment="1" applyProtection="1">
      <alignment vertical="center" wrapText="1"/>
      <protection locked="0"/>
    </xf>
    <xf numFmtId="49" fontId="70" fillId="0" borderId="25" xfId="1" applyNumberFormat="1" applyFont="1" applyFill="1" applyBorder="1" applyAlignment="1" applyProtection="1">
      <alignment horizontal="center" vertical="center" wrapText="1"/>
    </xf>
    <xf numFmtId="0" fontId="70" fillId="0" borderId="25" xfId="1" applyFont="1" applyFill="1" applyBorder="1" applyAlignment="1" applyProtection="1">
      <alignment horizontal="left" vertical="center" wrapText="1" indent="1"/>
    </xf>
    <xf numFmtId="0" fontId="70" fillId="0" borderId="25" xfId="1" applyFont="1" applyFill="1" applyBorder="1" applyAlignment="1" applyProtection="1">
      <alignment horizontal="center" vertical="center" wrapText="1"/>
    </xf>
    <xf numFmtId="164" fontId="70" fillId="0" borderId="25" xfId="1" applyNumberFormat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56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</xf>
    <xf numFmtId="0" fontId="70" fillId="0" borderId="47" xfId="1" applyFont="1" applyFill="1" applyBorder="1" applyAlignment="1" applyProtection="1">
      <alignment horizontal="center" vertical="center" wrapText="1"/>
    </xf>
    <xf numFmtId="0" fontId="70" fillId="0" borderId="47" xfId="1" applyFont="1" applyFill="1" applyBorder="1" applyAlignment="1" applyProtection="1">
      <alignment horizontal="left" vertical="center" wrapText="1" indent="1"/>
    </xf>
    <xf numFmtId="164" fontId="70" fillId="0" borderId="47" xfId="1" applyNumberFormat="1" applyFont="1" applyFill="1" applyBorder="1" applyAlignment="1" applyProtection="1">
      <alignment vertical="center" wrapText="1"/>
    </xf>
    <xf numFmtId="0" fontId="62" fillId="0" borderId="25" xfId="178" applyFont="1" applyBorder="1" applyAlignment="1">
      <alignment horizontal="center" vertical="center"/>
    </xf>
    <xf numFmtId="0" fontId="48" fillId="0" borderId="25" xfId="178" applyFont="1" applyBorder="1" applyAlignment="1">
      <alignment horizontal="center" vertical="center"/>
    </xf>
    <xf numFmtId="0" fontId="62" fillId="0" borderId="25" xfId="178" applyFont="1" applyBorder="1" applyAlignment="1">
      <alignment vertical="center"/>
    </xf>
    <xf numFmtId="0" fontId="48" fillId="0" borderId="25" xfId="178" applyFont="1" applyBorder="1" applyAlignment="1">
      <alignment vertical="center"/>
    </xf>
    <xf numFmtId="0" fontId="23" fillId="0" borderId="24" xfId="0" applyFont="1" applyBorder="1" applyAlignment="1">
      <alignment horizontal="right"/>
    </xf>
    <xf numFmtId="164" fontId="16" fillId="25" borderId="8" xfId="161" applyNumberFormat="1" applyFont="1" applyFill="1" applyBorder="1" applyAlignment="1" applyProtection="1">
      <alignment vertical="center" wrapText="1"/>
    </xf>
    <xf numFmtId="49" fontId="16" fillId="25" borderId="8" xfId="161" applyNumberFormat="1" applyFont="1" applyFill="1" applyBorder="1" applyAlignment="1" applyProtection="1">
      <alignment horizontal="center" vertical="center" wrapText="1"/>
    </xf>
    <xf numFmtId="164" fontId="16" fillId="25" borderId="11" xfId="161" applyNumberFormat="1" applyFont="1" applyFill="1" applyBorder="1" applyAlignment="1" applyProtection="1">
      <alignment vertical="center" wrapText="1"/>
    </xf>
    <xf numFmtId="49" fontId="16" fillId="25" borderId="11" xfId="161" applyNumberFormat="1" applyFont="1" applyFill="1" applyBorder="1" applyAlignment="1" applyProtection="1">
      <alignment horizontal="center" vertical="center" wrapText="1"/>
    </xf>
    <xf numFmtId="164" fontId="16" fillId="25" borderId="18" xfId="161" applyNumberFormat="1" applyFont="1" applyFill="1" applyBorder="1" applyAlignment="1" applyProtection="1">
      <alignment vertical="center" wrapText="1"/>
    </xf>
    <xf numFmtId="49" fontId="16" fillId="25" borderId="18" xfId="161" applyNumberFormat="1" applyFont="1" applyFill="1" applyBorder="1" applyAlignment="1" applyProtection="1">
      <alignment horizontal="center" vertical="center" wrapText="1"/>
    </xf>
    <xf numFmtId="49" fontId="16" fillId="25" borderId="8" xfId="161" applyNumberFormat="1" applyFont="1" applyFill="1" applyBorder="1" applyAlignment="1" applyProtection="1">
      <alignment horizontal="left" vertical="center" wrapText="1" indent="2"/>
    </xf>
    <xf numFmtId="49" fontId="16" fillId="25" borderId="11" xfId="161" applyNumberFormat="1" applyFont="1" applyFill="1" applyBorder="1" applyAlignment="1" applyProtection="1">
      <alignment horizontal="left" vertical="center" wrapText="1" indent="2"/>
    </xf>
    <xf numFmtId="164" fontId="16" fillId="25" borderId="57" xfId="161" applyNumberFormat="1" applyFont="1" applyFill="1" applyBorder="1" applyAlignment="1" applyProtection="1">
      <alignment vertical="center" wrapText="1"/>
    </xf>
    <xf numFmtId="49" fontId="16" fillId="25" borderId="57" xfId="161" applyNumberFormat="1" applyFont="1" applyFill="1" applyBorder="1" applyAlignment="1" applyProtection="1">
      <alignment horizontal="left" vertical="center" wrapText="1" indent="2"/>
    </xf>
    <xf numFmtId="49" fontId="16" fillId="25" borderId="18" xfId="161" applyNumberFormat="1" applyFont="1" applyFill="1" applyBorder="1" applyAlignment="1" applyProtection="1">
      <alignment horizontal="left" vertical="center" wrapText="1" indent="2"/>
    </xf>
    <xf numFmtId="164" fontId="16" fillId="25" borderId="14" xfId="161" applyNumberFormat="1" applyFont="1" applyFill="1" applyBorder="1" applyAlignment="1" applyProtection="1">
      <alignment horizontal="left" vertical="center" wrapText="1"/>
    </xf>
    <xf numFmtId="49" fontId="16" fillId="25" borderId="14" xfId="161" applyNumberFormat="1" applyFont="1" applyFill="1" applyBorder="1" applyAlignment="1" applyProtection="1">
      <alignment horizontal="left" vertical="center" wrapText="1" indent="2"/>
    </xf>
    <xf numFmtId="164" fontId="16" fillId="25" borderId="8" xfId="161" applyNumberFormat="1" applyFont="1" applyFill="1" applyBorder="1" applyAlignment="1" applyProtection="1">
      <alignment horizontal="left" vertical="center" wrapText="1"/>
    </xf>
    <xf numFmtId="164" fontId="16" fillId="25" borderId="18" xfId="161" applyNumberFormat="1" applyFont="1" applyFill="1" applyBorder="1" applyAlignment="1" applyProtection="1">
      <alignment horizontal="left" vertical="center" wrapText="1"/>
    </xf>
    <xf numFmtId="164" fontId="16" fillId="25" borderId="14" xfId="161" applyNumberFormat="1" applyFont="1" applyFill="1" applyBorder="1" applyAlignment="1" applyProtection="1">
      <alignment vertical="center" wrapText="1"/>
    </xf>
    <xf numFmtId="164" fontId="16" fillId="0" borderId="4" xfId="161" applyNumberFormat="1" applyFont="1" applyFill="1" applyBorder="1" applyAlignment="1" applyProtection="1">
      <alignment horizontal="center" vertical="center" wrapText="1"/>
    </xf>
    <xf numFmtId="164" fontId="16" fillId="25" borderId="5" xfId="161" applyNumberFormat="1" applyFont="1" applyFill="1" applyBorder="1" applyAlignment="1" applyProtection="1">
      <alignment vertical="center" wrapText="1"/>
    </xf>
    <xf numFmtId="49" fontId="16" fillId="25" borderId="5" xfId="161" applyNumberFormat="1" applyFont="1" applyFill="1" applyBorder="1" applyAlignment="1" applyProtection="1">
      <alignment horizontal="left" vertical="center" wrapText="1" indent="2"/>
    </xf>
    <xf numFmtId="3" fontId="16" fillId="0" borderId="5" xfId="161" applyNumberFormat="1" applyFont="1" applyFill="1" applyBorder="1" applyAlignment="1" applyProtection="1">
      <alignment horizontal="right" vertical="center"/>
    </xf>
    <xf numFmtId="3" fontId="16" fillId="0" borderId="5" xfId="0" applyNumberFormat="1" applyFont="1" applyFill="1" applyBorder="1" applyAlignment="1">
      <alignment horizontal="right" vertical="center"/>
    </xf>
    <xf numFmtId="3" fontId="16" fillId="0" borderId="5" xfId="159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3" fontId="17" fillId="0" borderId="76" xfId="0" applyNumberFormat="1" applyFont="1" applyBorder="1" applyAlignment="1">
      <alignment horizontal="right" vertical="center"/>
    </xf>
    <xf numFmtId="3" fontId="16" fillId="26" borderId="8" xfId="161" applyNumberFormat="1" applyFont="1" applyFill="1" applyBorder="1" applyAlignment="1" applyProtection="1">
      <alignment horizontal="right" vertical="center"/>
    </xf>
    <xf numFmtId="0" fontId="48" fillId="0" borderId="25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/>
    </xf>
    <xf numFmtId="3" fontId="48" fillId="0" borderId="25" xfId="0" applyNumberFormat="1" applyFont="1" applyFill="1" applyBorder="1" applyAlignment="1">
      <alignment vertical="center"/>
    </xf>
    <xf numFmtId="0" fontId="48" fillId="0" borderId="62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119" fillId="0" borderId="0" xfId="0" applyFont="1" applyFill="1" applyBorder="1"/>
    <xf numFmtId="0" fontId="62" fillId="0" borderId="20" xfId="0" applyFont="1" applyFill="1" applyBorder="1" applyAlignment="1">
      <alignment vertical="center"/>
    </xf>
    <xf numFmtId="3" fontId="62" fillId="0" borderId="25" xfId="0" applyNumberFormat="1" applyFont="1" applyFill="1" applyBorder="1" applyAlignment="1">
      <alignment vertical="center"/>
    </xf>
    <xf numFmtId="49" fontId="86" fillId="0" borderId="0" xfId="0" applyNumberFormat="1" applyFont="1" applyFill="1" applyBorder="1" applyAlignment="1" applyProtection="1">
      <alignment wrapText="1"/>
    </xf>
    <xf numFmtId="0" fontId="60" fillId="0" borderId="25" xfId="0" applyFont="1" applyFill="1" applyBorder="1" applyAlignment="1">
      <alignment horizontal="center" vertical="center" wrapText="1"/>
    </xf>
    <xf numFmtId="49" fontId="86" fillId="0" borderId="25" xfId="0" applyNumberFormat="1" applyFont="1" applyFill="1" applyBorder="1" applyAlignment="1" applyProtection="1">
      <alignment wrapText="1"/>
    </xf>
    <xf numFmtId="0" fontId="0" fillId="0" borderId="25" xfId="0" applyFill="1" applyBorder="1"/>
    <xf numFmtId="0" fontId="36" fillId="0" borderId="0" xfId="0" applyFont="1" applyAlignment="1">
      <alignment horizontal="left" vertical="top" wrapText="1"/>
    </xf>
    <xf numFmtId="0" fontId="120" fillId="0" borderId="0" xfId="0" applyFont="1" applyAlignment="1">
      <alignment horizontal="left" vertical="top" wrapText="1"/>
    </xf>
    <xf numFmtId="0" fontId="36" fillId="0" borderId="25" xfId="0" applyFont="1" applyBorder="1" applyAlignment="1">
      <alignment horizontal="left" vertical="top" wrapText="1"/>
    </xf>
    <xf numFmtId="0" fontId="62" fillId="0" borderId="25" xfId="0" applyFont="1" applyFill="1" applyBorder="1" applyAlignment="1">
      <alignment horizontal="center" vertical="center"/>
    </xf>
    <xf numFmtId="0" fontId="120" fillId="0" borderId="25" xfId="0" applyFont="1" applyBorder="1" applyAlignment="1">
      <alignment horizontal="left" vertical="top" wrapText="1"/>
    </xf>
    <xf numFmtId="0" fontId="17" fillId="0" borderId="0" xfId="0" applyFont="1"/>
    <xf numFmtId="0" fontId="118" fillId="0" borderId="0" xfId="0" applyFont="1"/>
    <xf numFmtId="0" fontId="118" fillId="0" borderId="0" xfId="0" applyFont="1" applyAlignment="1">
      <alignment wrapText="1"/>
    </xf>
    <xf numFmtId="49" fontId="86" fillId="0" borderId="0" xfId="0" applyNumberFormat="1" applyFont="1" applyFill="1" applyBorder="1" applyAlignment="1" applyProtection="1"/>
    <xf numFmtId="166" fontId="0" fillId="0" borderId="0" xfId="212" applyNumberFormat="1" applyFont="1"/>
    <xf numFmtId="166" fontId="17" fillId="0" borderId="0" xfId="212" applyNumberFormat="1" applyFont="1"/>
    <xf numFmtId="0" fontId="124" fillId="0" borderId="25" xfId="0" applyFont="1" applyFill="1" applyBorder="1" applyAlignment="1">
      <alignment horizontal="center" vertical="center"/>
    </xf>
    <xf numFmtId="3" fontId="124" fillId="0" borderId="25" xfId="0" applyNumberFormat="1" applyFont="1" applyFill="1" applyBorder="1" applyAlignment="1">
      <alignment vertical="center"/>
    </xf>
    <xf numFmtId="0" fontId="23" fillId="0" borderId="25" xfId="0" applyFont="1" applyFill="1" applyBorder="1"/>
    <xf numFmtId="0" fontId="23" fillId="0" borderId="0" xfId="0" applyFont="1"/>
    <xf numFmtId="0" fontId="121" fillId="0" borderId="0" xfId="0" applyFont="1" applyAlignment="1">
      <alignment horizontal="left" vertical="top" wrapText="1"/>
    </xf>
    <xf numFmtId="166" fontId="36" fillId="0" borderId="0" xfId="212" applyNumberFormat="1" applyFont="1" applyAlignment="1">
      <alignment horizontal="left" vertical="top" wrapText="1"/>
    </xf>
    <xf numFmtId="166" fontId="23" fillId="0" borderId="0" xfId="212" applyNumberFormat="1" applyFont="1"/>
    <xf numFmtId="166" fontId="121" fillId="0" borderId="0" xfId="212" applyNumberFormat="1" applyFont="1" applyAlignment="1">
      <alignment horizontal="left" vertical="top" wrapText="1"/>
    </xf>
    <xf numFmtId="166" fontId="120" fillId="0" borderId="0" xfId="212" applyNumberFormat="1" applyFont="1" applyAlignment="1">
      <alignment horizontal="left" vertical="top" wrapText="1"/>
    </xf>
    <xf numFmtId="3" fontId="0" fillId="0" borderId="25" xfId="0" applyNumberFormat="1" applyFill="1" applyBorder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90" fillId="0" borderId="0" xfId="0" applyFont="1" applyFill="1" applyAlignment="1">
      <alignment vertical="center"/>
    </xf>
    <xf numFmtId="3" fontId="71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6" fontId="0" fillId="0" borderId="25" xfId="0" applyNumberFormat="1" applyFill="1" applyBorder="1"/>
    <xf numFmtId="164" fontId="11" fillId="0" borderId="9" xfId="1" applyNumberFormat="1" applyFont="1" applyFill="1" applyBorder="1" applyAlignment="1" applyProtection="1">
      <alignment vertical="center"/>
      <protection locked="0"/>
    </xf>
    <xf numFmtId="3" fontId="105" fillId="0" borderId="0" xfId="48" applyNumberFormat="1" applyFont="1"/>
    <xf numFmtId="0" fontId="125" fillId="0" borderId="0" xfId="0" applyFont="1"/>
    <xf numFmtId="0" fontId="17" fillId="0" borderId="25" xfId="0" applyFont="1" applyFill="1" applyBorder="1"/>
    <xf numFmtId="0" fontId="17" fillId="25" borderId="25" xfId="0" applyFont="1" applyFill="1" applyBorder="1"/>
    <xf numFmtId="166" fontId="0" fillId="27" borderId="25" xfId="0" applyNumberFormat="1" applyFill="1" applyBorder="1"/>
    <xf numFmtId="164" fontId="7" fillId="0" borderId="0" xfId="1" applyNumberFormat="1" applyFill="1" applyProtection="1"/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6" fontId="7" fillId="0" borderId="0" xfId="212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6" fontId="7" fillId="0" borderId="0" xfId="1" applyNumberFormat="1" applyFill="1" applyProtection="1"/>
    <xf numFmtId="0" fontId="58" fillId="0" borderId="0" xfId="51" applyFont="1" applyFill="1" applyAlignment="1"/>
    <xf numFmtId="3" fontId="58" fillId="0" borderId="0" xfId="51" applyNumberFormat="1" applyFont="1" applyFill="1" applyAlignment="1"/>
    <xf numFmtId="3" fontId="16" fillId="0" borderId="0" xfId="51" applyNumberFormat="1" applyFont="1" applyFill="1"/>
    <xf numFmtId="0" fontId="59" fillId="0" borderId="0" xfId="51" applyFont="1" applyFill="1" applyAlignment="1"/>
    <xf numFmtId="3" fontId="59" fillId="0" borderId="0" xfId="51" applyNumberFormat="1" applyFont="1" applyFill="1" applyAlignment="1"/>
    <xf numFmtId="3" fontId="20" fillId="0" borderId="0" xfId="51" applyNumberFormat="1" applyFont="1" applyFill="1"/>
    <xf numFmtId="0" fontId="60" fillId="0" borderId="0" xfId="51" applyFont="1" applyFill="1" applyAlignment="1"/>
    <xf numFmtId="3" fontId="60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4" fontId="16" fillId="0" borderId="66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/>
    </xf>
    <xf numFmtId="164" fontId="58" fillId="0" borderId="1" xfId="67" applyNumberFormat="1" applyFont="1" applyFill="1" applyBorder="1" applyAlignment="1">
      <alignment vertical="center" wrapText="1"/>
    </xf>
    <xf numFmtId="164" fontId="95" fillId="0" borderId="0" xfId="160" applyNumberFormat="1" applyFont="1" applyFill="1" applyBorder="1" applyAlignment="1">
      <alignment vertical="center" wrapText="1"/>
    </xf>
    <xf numFmtId="0" fontId="60" fillId="0" borderId="0" xfId="172" applyFont="1" applyAlignment="1">
      <alignment horizontal="center"/>
    </xf>
    <xf numFmtId="164" fontId="0" fillId="0" borderId="25" xfId="0" applyNumberForma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  <protection locked="0"/>
    </xf>
    <xf numFmtId="3" fontId="0" fillId="0" borderId="78" xfId="0" applyNumberFormat="1" applyFont="1" applyBorder="1" applyAlignment="1" applyProtection="1">
      <alignment horizontal="right" vertical="center" indent="1"/>
      <protection locked="0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71" fillId="0" borderId="0" xfId="1" applyNumberFormat="1" applyFont="1" applyFill="1" applyProtection="1"/>
    <xf numFmtId="164" fontId="20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20" fillId="0" borderId="22" xfId="0" applyNumberFormat="1" applyFont="1" applyFill="1" applyBorder="1" applyAlignment="1">
      <alignment horizontal="center"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0" fontId="16" fillId="0" borderId="0" xfId="160" applyNumberFormat="1" applyFont="1" applyFill="1" applyBorder="1" applyAlignment="1">
      <alignment horizontal="left" vertical="center"/>
    </xf>
    <xf numFmtId="0" fontId="126" fillId="0" borderId="0" xfId="0" applyFont="1" applyFill="1" applyProtection="1"/>
    <xf numFmtId="0" fontId="127" fillId="0" borderId="0" xfId="0" applyFont="1" applyFill="1" applyProtection="1"/>
    <xf numFmtId="0" fontId="0" fillId="0" borderId="0" xfId="0" applyFill="1" applyProtection="1"/>
    <xf numFmtId="0" fontId="99" fillId="0" borderId="0" xfId="0" applyFont="1" applyFill="1" applyProtection="1">
      <protection locked="0"/>
    </xf>
    <xf numFmtId="0" fontId="98" fillId="0" borderId="0" xfId="0" applyFont="1" applyFill="1" applyProtection="1">
      <protection locked="0"/>
    </xf>
    <xf numFmtId="0" fontId="98" fillId="0" borderId="0" xfId="0" applyFont="1" applyFill="1" applyProtection="1"/>
    <xf numFmtId="0" fontId="90" fillId="0" borderId="0" xfId="0" applyFont="1" applyFill="1" applyAlignment="1" applyProtection="1">
      <alignment horizontal="right"/>
    </xf>
    <xf numFmtId="0" fontId="96" fillId="0" borderId="83" xfId="0" applyFont="1" applyFill="1" applyBorder="1" applyAlignment="1" applyProtection="1">
      <alignment horizontal="center" vertical="center" wrapText="1"/>
    </xf>
    <xf numFmtId="0" fontId="96" fillId="0" borderId="84" xfId="0" applyFont="1" applyFill="1" applyBorder="1" applyAlignment="1" applyProtection="1">
      <alignment horizontal="center" vertical="center" wrapText="1"/>
    </xf>
    <xf numFmtId="0" fontId="96" fillId="0" borderId="85" xfId="0" applyFont="1" applyFill="1" applyBorder="1" applyAlignment="1" applyProtection="1">
      <alignment horizontal="center" vertical="center" wrapText="1"/>
    </xf>
    <xf numFmtId="0" fontId="92" fillId="0" borderId="86" xfId="0" applyFont="1" applyFill="1" applyBorder="1" applyAlignment="1" applyProtection="1">
      <alignment horizontal="center" vertical="center"/>
    </xf>
    <xf numFmtId="0" fontId="92" fillId="0" borderId="47" xfId="0" applyFont="1" applyFill="1" applyBorder="1" applyAlignment="1" applyProtection="1">
      <alignment vertical="center" wrapText="1"/>
    </xf>
    <xf numFmtId="164" fontId="92" fillId="0" borderId="47" xfId="0" applyNumberFormat="1" applyFont="1" applyFill="1" applyBorder="1" applyAlignment="1" applyProtection="1">
      <alignment vertical="center"/>
      <protection locked="0"/>
    </xf>
    <xf numFmtId="164" fontId="28" fillId="0" borderId="87" xfId="0" applyNumberFormat="1" applyFont="1" applyFill="1" applyBorder="1" applyAlignment="1" applyProtection="1">
      <alignment vertical="center"/>
    </xf>
    <xf numFmtId="0" fontId="92" fillId="0" borderId="88" xfId="0" applyFont="1" applyFill="1" applyBorder="1" applyAlignment="1" applyProtection="1">
      <alignment horizontal="center" vertical="center"/>
    </xf>
    <xf numFmtId="0" fontId="92" fillId="0" borderId="25" xfId="0" applyFont="1" applyFill="1" applyBorder="1" applyAlignment="1" applyProtection="1">
      <alignment vertical="center" wrapText="1"/>
    </xf>
    <xf numFmtId="164" fontId="92" fillId="0" borderId="25" xfId="0" applyNumberFormat="1" applyFont="1" applyFill="1" applyBorder="1" applyAlignment="1" applyProtection="1">
      <alignment vertical="center"/>
      <protection locked="0"/>
    </xf>
    <xf numFmtId="164" fontId="28" fillId="0" borderId="77" xfId="0" applyNumberFormat="1" applyFont="1" applyFill="1" applyBorder="1" applyAlignment="1" applyProtection="1">
      <alignment vertical="center"/>
    </xf>
    <xf numFmtId="0" fontId="92" fillId="0" borderId="89" xfId="0" applyFont="1" applyFill="1" applyBorder="1" applyAlignment="1" applyProtection="1">
      <alignment horizontal="center" vertical="center"/>
    </xf>
    <xf numFmtId="0" fontId="92" fillId="0" borderId="29" xfId="0" applyFont="1" applyFill="1" applyBorder="1" applyAlignment="1" applyProtection="1">
      <alignment vertical="center" wrapText="1"/>
    </xf>
    <xf numFmtId="164" fontId="92" fillId="0" borderId="29" xfId="0" applyNumberFormat="1" applyFont="1" applyFill="1" applyBorder="1" applyAlignment="1" applyProtection="1">
      <alignment vertical="center"/>
      <protection locked="0"/>
    </xf>
    <xf numFmtId="164" fontId="28" fillId="0" borderId="90" xfId="0" applyNumberFormat="1" applyFont="1" applyFill="1" applyBorder="1" applyAlignment="1" applyProtection="1">
      <alignment vertical="center"/>
    </xf>
    <xf numFmtId="0" fontId="28" fillId="0" borderId="83" xfId="0" applyFont="1" applyFill="1" applyBorder="1" applyAlignment="1" applyProtection="1">
      <alignment horizontal="center" vertical="center"/>
    </xf>
    <xf numFmtId="0" fontId="91" fillId="0" borderId="84" xfId="0" applyFont="1" applyFill="1" applyBorder="1" applyAlignment="1" applyProtection="1">
      <alignment vertical="center" wrapText="1"/>
    </xf>
    <xf numFmtId="164" fontId="28" fillId="0" borderId="84" xfId="0" applyNumberFormat="1" applyFont="1" applyFill="1" applyBorder="1" applyAlignment="1" applyProtection="1">
      <alignment vertical="center"/>
    </xf>
    <xf numFmtId="164" fontId="28" fillId="0" borderId="85" xfId="0" applyNumberFormat="1" applyFont="1" applyFill="1" applyBorder="1" applyAlignment="1" applyProtection="1">
      <alignment vertical="center"/>
    </xf>
    <xf numFmtId="0" fontId="12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10" fontId="0" fillId="0" borderId="0" xfId="214" applyNumberFormat="1" applyFont="1" applyFill="1" applyAlignment="1" applyProtection="1">
      <alignment vertical="center" wrapText="1"/>
    </xf>
    <xf numFmtId="164" fontId="16" fillId="0" borderId="57" xfId="67" applyNumberFormat="1" applyFont="1" applyBorder="1" applyAlignment="1">
      <alignment vertical="center"/>
    </xf>
    <xf numFmtId="4" fontId="16" fillId="0" borderId="25" xfId="67" applyNumberFormat="1" applyFont="1" applyBorder="1" applyAlignment="1">
      <alignment vertical="center"/>
    </xf>
    <xf numFmtId="3" fontId="16" fillId="0" borderId="25" xfId="67" applyNumberFormat="1" applyFont="1" applyBorder="1" applyAlignment="1">
      <alignment vertical="center"/>
    </xf>
    <xf numFmtId="164" fontId="16" fillId="0" borderId="27" xfId="67" applyNumberFormat="1" applyFont="1" applyFill="1" applyBorder="1" applyAlignment="1">
      <alignment horizontal="left" vertical="center" wrapText="1"/>
    </xf>
    <xf numFmtId="164" fontId="16" fillId="0" borderId="17" xfId="67" applyNumberFormat="1" applyFont="1" applyBorder="1" applyAlignment="1">
      <alignment vertical="center"/>
    </xf>
    <xf numFmtId="3" fontId="16" fillId="0" borderId="17" xfId="67" applyNumberFormat="1" applyFont="1" applyBorder="1" applyAlignment="1">
      <alignment vertical="center"/>
    </xf>
    <xf numFmtId="165" fontId="16" fillId="0" borderId="19" xfId="67" applyNumberFormat="1" applyFont="1" applyBorder="1" applyAlignment="1">
      <alignment vertical="center"/>
    </xf>
    <xf numFmtId="3" fontId="16" fillId="0" borderId="57" xfId="67" applyNumberFormat="1" applyFont="1" applyBorder="1" applyAlignment="1">
      <alignment vertical="center"/>
    </xf>
    <xf numFmtId="164" fontId="16" fillId="0" borderId="25" xfId="67" applyNumberFormat="1" applyFont="1" applyBorder="1" applyAlignment="1">
      <alignment vertical="center"/>
    </xf>
    <xf numFmtId="165" fontId="16" fillId="0" borderId="25" xfId="67" applyNumberFormat="1" applyFont="1" applyBorder="1" applyAlignment="1">
      <alignment vertical="center"/>
    </xf>
    <xf numFmtId="164" fontId="48" fillId="0" borderId="0" xfId="160" applyNumberFormat="1" applyFont="1" applyFill="1" applyAlignment="1">
      <alignment vertical="center"/>
    </xf>
    <xf numFmtId="164" fontId="20" fillId="0" borderId="2" xfId="160" applyNumberFormat="1" applyFont="1" applyFill="1" applyBorder="1" applyAlignment="1">
      <alignment horizontal="right" vertical="center"/>
    </xf>
    <xf numFmtId="164" fontId="20" fillId="0" borderId="59" xfId="160" applyNumberFormat="1" applyFont="1" applyFill="1" applyBorder="1" applyAlignment="1">
      <alignment horizontal="right" vertical="center"/>
    </xf>
    <xf numFmtId="164" fontId="20" fillId="0" borderId="3" xfId="160" applyNumberFormat="1" applyFont="1" applyFill="1" applyBorder="1" applyAlignment="1">
      <alignment horizontal="right" vertical="center"/>
    </xf>
    <xf numFmtId="164" fontId="20" fillId="0" borderId="2" xfId="160" applyNumberFormat="1" applyFont="1" applyFill="1" applyBorder="1" applyAlignment="1">
      <alignment vertical="center" wrapText="1"/>
    </xf>
    <xf numFmtId="164" fontId="20" fillId="0" borderId="3" xfId="160" applyNumberFormat="1" applyFont="1" applyFill="1" applyBorder="1" applyAlignment="1">
      <alignment vertical="center" wrapText="1"/>
    </xf>
    <xf numFmtId="164" fontId="58" fillId="0" borderId="0" xfId="160" applyNumberFormat="1" applyFont="1" applyFill="1" applyAlignment="1">
      <alignment vertical="center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0" fontId="64" fillId="0" borderId="54" xfId="178" applyFont="1" applyBorder="1" applyAlignment="1">
      <alignment horizontal="center" vertical="center" wrapText="1"/>
    </xf>
    <xf numFmtId="0" fontId="110" fillId="0" borderId="63" xfId="0" applyFont="1" applyBorder="1" applyAlignment="1">
      <alignment horizontal="center" vertical="center" wrapText="1"/>
    </xf>
    <xf numFmtId="0" fontId="110" fillId="0" borderId="64" xfId="0" applyFont="1" applyBorder="1" applyAlignment="1">
      <alignment horizontal="center" vertical="center" wrapText="1"/>
    </xf>
    <xf numFmtId="0" fontId="110" fillId="0" borderId="71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0" fontId="110" fillId="0" borderId="69" xfId="0" applyFont="1" applyBorder="1" applyAlignment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164" fontId="62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2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2" fillId="0" borderId="67" xfId="48" applyFont="1" applyBorder="1" applyAlignment="1">
      <alignment horizontal="center" vertical="center"/>
    </xf>
    <xf numFmtId="0" fontId="62" fillId="0" borderId="57" xfId="48" applyFont="1" applyBorder="1" applyAlignment="1">
      <alignment horizontal="center" vertical="center"/>
    </xf>
    <xf numFmtId="0" fontId="66" fillId="0" borderId="0" xfId="48" applyFont="1" applyBorder="1"/>
    <xf numFmtId="0" fontId="60" fillId="0" borderId="72" xfId="48" applyFont="1" applyBorder="1" applyAlignment="1">
      <alignment horizontal="left" vertical="center"/>
    </xf>
    <xf numFmtId="0" fontId="60" fillId="0" borderId="2" xfId="48" applyFont="1" applyBorder="1" applyAlignment="1">
      <alignment horizontal="left" vertical="center"/>
    </xf>
    <xf numFmtId="0" fontId="60" fillId="0" borderId="72" xfId="48" applyFont="1" applyBorder="1" applyAlignment="1">
      <alignment vertical="center"/>
    </xf>
    <xf numFmtId="0" fontId="60" fillId="0" borderId="2" xfId="48" applyFont="1" applyBorder="1" applyAlignment="1">
      <alignment vertical="center"/>
    </xf>
    <xf numFmtId="0" fontId="115" fillId="0" borderId="0" xfId="48" applyFont="1" applyAlignment="1">
      <alignment horizontal="center" vertical="center" wrapText="1"/>
    </xf>
    <xf numFmtId="0" fontId="115" fillId="0" borderId="0" xfId="48" applyFont="1" applyAlignment="1">
      <alignment horizontal="center" vertical="center"/>
    </xf>
    <xf numFmtId="0" fontId="60" fillId="0" borderId="2" xfId="48" applyFont="1" applyBorder="1" applyAlignment="1">
      <alignment horizontal="center" vertical="center" wrapText="1"/>
    </xf>
    <xf numFmtId="0" fontId="0" fillId="0" borderId="81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2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49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 wrapText="1"/>
    </xf>
    <xf numFmtId="3" fontId="64" fillId="0" borderId="0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right"/>
    </xf>
    <xf numFmtId="0" fontId="20" fillId="0" borderId="25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24" xfId="0" applyFont="1" applyFill="1" applyBorder="1" applyAlignment="1">
      <alignment horizontal="center" vertical="center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70" fillId="0" borderId="54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64" xfId="0" applyFont="1" applyFill="1" applyBorder="1" applyAlignment="1" applyProtection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6" xfId="171" applyFont="1" applyFill="1" applyBorder="1" applyAlignment="1" applyProtection="1">
      <alignment horizontal="left" vertical="center" indent="1"/>
    </xf>
    <xf numFmtId="0" fontId="102" fillId="0" borderId="53" xfId="171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9" fillId="0" borderId="0" xfId="174" applyFont="1" applyFill="1" applyBorder="1" applyAlignment="1">
      <alignment horizontal="center" vertical="center" wrapText="1"/>
    </xf>
    <xf numFmtId="0" fontId="106" fillId="0" borderId="0" xfId="173" applyFont="1" applyAlignment="1">
      <alignment horizontal="center" vertical="center" wrapText="1"/>
    </xf>
    <xf numFmtId="0" fontId="106" fillId="0" borderId="0" xfId="173" applyFont="1" applyAlignment="1">
      <alignment horizontal="center" vertical="center"/>
    </xf>
    <xf numFmtId="0" fontId="106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0" fillId="0" borderId="29" xfId="172" applyFont="1" applyBorder="1" applyAlignment="1">
      <alignment horizontal="center" vertical="center" wrapText="1"/>
    </xf>
    <xf numFmtId="0" fontId="60" fillId="0" borderId="47" xfId="172" applyFont="1" applyBorder="1" applyAlignment="1">
      <alignment horizontal="center" vertical="center" wrapText="1"/>
    </xf>
    <xf numFmtId="0" fontId="60" fillId="0" borderId="63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106" fillId="0" borderId="0" xfId="175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27" fillId="0" borderId="0" xfId="0" applyFont="1" applyFill="1" applyAlignment="1" applyProtection="1">
      <alignment horizontal="left"/>
      <protection locked="0"/>
    </xf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6" fontId="7" fillId="0" borderId="0" xfId="1" applyNumberFormat="1" applyFont="1" applyFill="1" applyAlignment="1" applyProtection="1">
      <alignment horizontal="right" vertical="center" indent="1"/>
    </xf>
    <xf numFmtId="164" fontId="17" fillId="0" borderId="0" xfId="1" applyNumberFormat="1" applyFont="1" applyFill="1" applyBorder="1" applyAlignment="1" applyProtection="1">
      <alignment vertical="center" wrapText="1"/>
    </xf>
    <xf numFmtId="3" fontId="16" fillId="0" borderId="0" xfId="51" applyNumberFormat="1" applyFont="1"/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/>
    </xf>
    <xf numFmtId="3" fontId="20" fillId="0" borderId="25" xfId="51" applyNumberFormat="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3" fontId="5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0" fontId="16" fillId="0" borderId="25" xfId="5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horizontal="right"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3" fontId="18" fillId="0" borderId="25" xfId="51" applyNumberFormat="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3" fontId="57" fillId="0" borderId="25" xfId="51" applyNumberFormat="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horizontal="right" vertical="center"/>
    </xf>
    <xf numFmtId="165" fontId="18" fillId="0" borderId="25" xfId="51" applyNumberFormat="1" applyFont="1" applyFill="1" applyBorder="1" applyAlignment="1">
      <alignment vertical="center"/>
    </xf>
    <xf numFmtId="3" fontId="20" fillId="0" borderId="25" xfId="51" applyNumberFormat="1" applyFont="1" applyBorder="1" applyAlignment="1">
      <alignment horizontal="right" vertical="center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4" fontId="17" fillId="0" borderId="55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7" fillId="0" borderId="75" xfId="1" applyNumberFormat="1" applyFont="1" applyFill="1" applyBorder="1" applyAlignment="1" applyProtection="1">
      <alignment horizontal="right" vertical="center" wrapText="1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164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4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4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164" fontId="7" fillId="0" borderId="0" xfId="1" applyNumberFormat="1" applyFont="1" applyFill="1" applyProtection="1"/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</cellXfs>
  <cellStyles count="215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2" builtinId="3"/>
    <cellStyle name="Ezres 10" xfId="102" xr:uid="{00000000-0005-0000-0000-000036000000}"/>
    <cellStyle name="Ezres 10 2" xfId="185" xr:uid="{00000000-0005-0000-0000-000037000000}"/>
    <cellStyle name="Ezres 11" xfId="177" xr:uid="{00000000-0005-0000-0000-000038000000}"/>
    <cellStyle name="Ezres 12" xfId="213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6" xr:uid="{00000000-0005-0000-0000-000043000000}"/>
    <cellStyle name="Ezres 5" xfId="106" xr:uid="{00000000-0005-0000-0000-000044000000}"/>
    <cellStyle name="Ezres 5 2" xfId="187" xr:uid="{00000000-0005-0000-0000-000045000000}"/>
    <cellStyle name="Ezres 6" xfId="107" xr:uid="{00000000-0005-0000-0000-000046000000}"/>
    <cellStyle name="Ezres 6 2" xfId="188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9" xr:uid="{00000000-0005-0000-0000-000068000000}"/>
    <cellStyle name="Normál 15" xfId="128" xr:uid="{00000000-0005-0000-0000-000069000000}"/>
    <cellStyle name="Normál 15 2" xfId="190" xr:uid="{00000000-0005-0000-0000-00006A000000}"/>
    <cellStyle name="Normál 16" xfId="129" xr:uid="{00000000-0005-0000-0000-00006B000000}"/>
    <cellStyle name="Normál 16 2" xfId="191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80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3" xr:uid="{00000000-0005-0000-0000-000072000000}"/>
    <cellStyle name="Normál 17 2 3 3" xfId="192" xr:uid="{00000000-0005-0000-0000-000073000000}"/>
    <cellStyle name="Normál 17 3" xfId="179" xr:uid="{00000000-0005-0000-0000-000074000000}"/>
    <cellStyle name="Normál 18" xfId="132" xr:uid="{00000000-0005-0000-0000-000075000000}"/>
    <cellStyle name="Normál 18 2" xfId="194" xr:uid="{00000000-0005-0000-0000-000076000000}"/>
    <cellStyle name="Normál 19" xfId="133" xr:uid="{00000000-0005-0000-0000-000077000000}"/>
    <cellStyle name="Normál 19 2" xfId="195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81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6" xr:uid="{00000000-0005-0000-0000-000087000000}"/>
    <cellStyle name="Normál 21" xfId="141" xr:uid="{00000000-0005-0000-0000-000088000000}"/>
    <cellStyle name="Normál 21 2" xfId="197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9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2" xr:uid="{00000000-0005-0000-0000-000090000000}"/>
    <cellStyle name="Normál 22 3 2 3" xfId="201" xr:uid="{00000000-0005-0000-0000-000091000000}"/>
    <cellStyle name="Normál 22 3 3" xfId="200" xr:uid="{00000000-0005-0000-0000-000092000000}"/>
    <cellStyle name="Normál 22 4" xfId="198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4" xr:uid="{00000000-0005-0000-0000-000096000000}"/>
    <cellStyle name="Normál 23 3" xfId="203" xr:uid="{00000000-0005-0000-0000-000097000000}"/>
    <cellStyle name="Normál 24" xfId="149" xr:uid="{00000000-0005-0000-0000-000098000000}"/>
    <cellStyle name="Normál 24 2" xfId="205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3" xr:uid="{00000000-0005-0000-0000-00009C000000}"/>
    <cellStyle name="Normál 25 3" xfId="182" xr:uid="{00000000-0005-0000-0000-00009D000000}"/>
    <cellStyle name="Normál 26" xfId="172" xr:uid="{00000000-0005-0000-0000-00009E000000}"/>
    <cellStyle name="Normál 26 2" xfId="209" xr:uid="{00000000-0005-0000-0000-00009F000000}"/>
    <cellStyle name="Normál 27" xfId="173" xr:uid="{00000000-0005-0000-0000-0000A0000000}"/>
    <cellStyle name="Normál 27 2" xfId="210" xr:uid="{00000000-0005-0000-0000-0000A1000000}"/>
    <cellStyle name="Normál 28" xfId="175" xr:uid="{00000000-0005-0000-0000-0000A2000000}"/>
    <cellStyle name="Normál 28 2" xfId="211" xr:uid="{00000000-0005-0000-0000-0000A3000000}"/>
    <cellStyle name="Normál 29" xfId="176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4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6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8" xr:uid="{00000000-0005-0000-0000-0000B4000000}"/>
    <cellStyle name="Normál 5 3 3" xfId="207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11. KV összesítő 2011.tervegyeztetés lezárt jegyzőkönyvek" xfId="159" xr:uid="{00000000-0005-0000-0000-0000BC000000}"/>
    <cellStyle name="Normál_2001 évi terv" xfId="76" xr:uid="{00000000-0005-0000-0000-0000BD000000}"/>
    <cellStyle name="Normál_2003 évi kv javaslat" xfId="160" xr:uid="{00000000-0005-0000-0000-0000BE000000}"/>
    <cellStyle name="Normál_Függelékek és egyéb táblák 02.06" xfId="67" xr:uid="{00000000-0005-0000-0000-0000BF000000}"/>
    <cellStyle name="Normál_Intézményi jegyzőkönyvek 2006  január 2-6 (rendeletbe előkészítő)" xfId="161" xr:uid="{00000000-0005-0000-0000-0000C0000000}"/>
    <cellStyle name="Normal_KARSZJ3" xfId="68" xr:uid="{00000000-0005-0000-0000-0000C1000000}"/>
    <cellStyle name="Normál_ktgvetés mellékletei 2012 01 20" xfId="178" xr:uid="{00000000-0005-0000-0000-0000C2000000}"/>
    <cellStyle name="Normál_KVRENMUNKA" xfId="1" xr:uid="{00000000-0005-0000-0000-0000C3000000}"/>
    <cellStyle name="Normál_létszám tájékoztató" xfId="174" xr:uid="{00000000-0005-0000-0000-0000C4000000}"/>
    <cellStyle name="Normál_SEGEDLETEK" xfId="171" xr:uid="{00000000-0005-0000-0000-0000C5000000}"/>
    <cellStyle name="Normal_tanusitv" xfId="69" xr:uid="{00000000-0005-0000-0000-0000C6000000}"/>
    <cellStyle name="Note" xfId="70" xr:uid="{00000000-0005-0000-0000-0000C7000000}"/>
    <cellStyle name="Output" xfId="71" xr:uid="{00000000-0005-0000-0000-0000C8000000}"/>
    <cellStyle name="Összesen 2" xfId="162" xr:uid="{00000000-0005-0000-0000-0000C9000000}"/>
    <cellStyle name="Pénznem 2" xfId="163" xr:uid="{00000000-0005-0000-0000-0000CA000000}"/>
    <cellStyle name="Rossz 2" xfId="164" xr:uid="{00000000-0005-0000-0000-0000CB000000}"/>
    <cellStyle name="Semleges 2" xfId="165" xr:uid="{00000000-0005-0000-0000-0000CC000000}"/>
    <cellStyle name="Stílus 1" xfId="166" xr:uid="{00000000-0005-0000-0000-0000CD000000}"/>
    <cellStyle name="Számítás 2" xfId="167" xr:uid="{00000000-0005-0000-0000-0000CE000000}"/>
    <cellStyle name="Százalék" xfId="214" builtinId="5"/>
    <cellStyle name="Százalék 2" xfId="72" xr:uid="{00000000-0005-0000-0000-0000D0000000}"/>
    <cellStyle name="Százalék 2 2" xfId="168" xr:uid="{00000000-0005-0000-0000-0000D1000000}"/>
    <cellStyle name="Százalék 3" xfId="169" xr:uid="{00000000-0005-0000-0000-0000D2000000}"/>
    <cellStyle name="Százalék 4" xfId="170" xr:uid="{00000000-0005-0000-0000-0000D3000000}"/>
    <cellStyle name="Title" xfId="73" xr:uid="{00000000-0005-0000-0000-0000D4000000}"/>
    <cellStyle name="Total" xfId="74" xr:uid="{00000000-0005-0000-0000-0000D5000000}"/>
    <cellStyle name="Warning Text" xfId="75" xr:uid="{00000000-0005-0000-0000-0000D6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externalLink" Target="externalLinks/externalLink8.xml"/><Relationship Id="rId50" Type="http://schemas.openxmlformats.org/officeDocument/2006/relationships/externalLink" Target="externalLinks/externalLink11.xml"/><Relationship Id="rId55" Type="http://schemas.openxmlformats.org/officeDocument/2006/relationships/externalLink" Target="externalLinks/externalLink1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3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externalLink" Target="externalLinks/externalLink9.xml"/><Relationship Id="rId56" Type="http://schemas.openxmlformats.org/officeDocument/2006/relationships/externalLink" Target="externalLinks/externalLink1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54" Type="http://schemas.openxmlformats.org/officeDocument/2006/relationships/externalLink" Target="externalLinks/externalLink1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0.xml"/><Relationship Id="rId57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52" Type="http://schemas.openxmlformats.org/officeDocument/2006/relationships/externalLink" Target="externalLinks/externalLink13.xml"/><Relationship Id="rId60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Koltsegvetes%20Konyar%202018/Bertervezes%202018%20Konyar%20v&#233;glegtes%20Angela%2002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Koltsegvetes%20Konyar%202018/k&#246;ts&#233;gvet&#233;s%20terv%20bev%20&#233;s%20kiad&#225;s%20(k&#246;zf.t&#225;m.)%20ANgela%20021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Koltsegvetes%20Konyar%202018/Bertervezes%202018%20Konyar%20v&#233;glegtes%20Angel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Koltsegvetes%20Konyar%202018/Bertervezes%202018%20Konyar%20v&#233;glegtes%20Angela%200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Test&#252;leti%20tabla%20Konyar%20201806%20vegleg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12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Összesen 1-11 hó"/>
      <sheetName val="Összesen rossz"/>
      <sheetName val="Megbízási díj"/>
      <sheetName val="Munkába járás"/>
      <sheetName val="Cafetéria"/>
      <sheetName val="Egyéb"/>
    </sheetNames>
    <sheetDataSet>
      <sheetData sheetId="0">
        <row r="174">
          <cell r="F174">
            <v>40000</v>
          </cell>
        </row>
        <row r="175">
          <cell r="F175">
            <v>50000</v>
          </cell>
        </row>
        <row r="176">
          <cell r="F176">
            <v>50000</v>
          </cell>
        </row>
        <row r="177">
          <cell r="F177">
            <v>50000</v>
          </cell>
        </row>
        <row r="180">
          <cell r="F180">
            <v>547700</v>
          </cell>
          <cell r="U180">
            <v>82155</v>
          </cell>
        </row>
        <row r="182">
          <cell r="AB182">
            <v>2841765</v>
          </cell>
          <cell r="AH182">
            <v>625188.30000000005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2">
          <cell r="F172">
            <v>550000</v>
          </cell>
        </row>
        <row r="173">
          <cell r="F173">
            <v>660000</v>
          </cell>
        </row>
        <row r="174">
          <cell r="F174">
            <v>660000</v>
          </cell>
        </row>
        <row r="175">
          <cell r="F175">
            <v>660000</v>
          </cell>
          <cell r="U175">
            <v>720000</v>
          </cell>
        </row>
        <row r="177">
          <cell r="F177">
            <v>660000</v>
          </cell>
        </row>
        <row r="178">
          <cell r="F178">
            <v>6024700</v>
          </cell>
          <cell r="U178">
            <v>903705</v>
          </cell>
        </row>
        <row r="180">
          <cell r="AB180">
            <v>36038000</v>
          </cell>
          <cell r="AH180">
            <v>7023705</v>
          </cell>
        </row>
      </sheetData>
      <sheetData sheetId="13"/>
      <sheetData sheetId="14">
        <row r="2">
          <cell r="C2">
            <v>2248560</v>
          </cell>
          <cell r="D2">
            <v>438469.2</v>
          </cell>
        </row>
        <row r="3">
          <cell r="C3">
            <v>480000</v>
          </cell>
          <cell r="D3">
            <v>93600</v>
          </cell>
        </row>
      </sheetData>
      <sheetData sheetId="15">
        <row r="182">
          <cell r="C182">
            <v>316000</v>
          </cell>
        </row>
      </sheetData>
      <sheetData sheetId="16">
        <row r="182">
          <cell r="D182">
            <v>660000</v>
          </cell>
          <cell r="E182">
            <v>116820</v>
          </cell>
          <cell r="F182">
            <v>109032.00000000001</v>
          </cell>
        </row>
      </sheetData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ÖNK"/>
      <sheetName val="Munka3"/>
      <sheetName val="Hivatal"/>
      <sheetName val="Óvoda"/>
      <sheetName val="MKP"/>
    </sheetNames>
    <sheetDataSet>
      <sheetData sheetId="0"/>
      <sheetData sheetId="1">
        <row r="108">
          <cell r="F108">
            <v>2803586.3325740322</v>
          </cell>
        </row>
        <row r="109">
          <cell r="F109">
            <v>273349.66742596816</v>
          </cell>
        </row>
        <row r="115">
          <cell r="F115">
            <v>114169886.10478361</v>
          </cell>
        </row>
        <row r="116">
          <cell r="F116">
            <v>11131563.895216402</v>
          </cell>
        </row>
        <row r="141">
          <cell r="E141">
            <v>1080000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12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Összesen 1-11 hó"/>
      <sheetName val="Összesen rossz"/>
      <sheetName val="Megbízási díj"/>
      <sheetName val="Munkába járás"/>
      <sheetName val="Cafetéria"/>
      <sheetName val="Egyéb"/>
    </sheetNames>
    <sheetDataSet>
      <sheetData sheetId="0">
        <row r="154">
          <cell r="AG154">
            <v>12147000</v>
          </cell>
        </row>
        <row r="186">
          <cell r="AB186">
            <v>689800</v>
          </cell>
          <cell r="AH186">
            <v>151756</v>
          </cell>
        </row>
        <row r="195">
          <cell r="AB195">
            <v>1082400</v>
          </cell>
          <cell r="AH195">
            <v>238128</v>
          </cell>
        </row>
        <row r="209">
          <cell r="AB209">
            <v>3683738</v>
          </cell>
          <cell r="AH209">
            <v>810422.35999999987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AB153">
            <v>12150000</v>
          </cell>
        </row>
        <row r="194">
          <cell r="AB194">
            <v>21832702</v>
          </cell>
          <cell r="AH194">
            <v>4257376.8900000006</v>
          </cell>
        </row>
        <row r="208">
          <cell r="AB208">
            <v>41718435</v>
          </cell>
          <cell r="AH208">
            <v>8135094.8250000002</v>
          </cell>
        </row>
      </sheetData>
      <sheetData sheetId="13"/>
      <sheetData sheetId="14"/>
      <sheetData sheetId="15">
        <row r="186">
          <cell r="C186">
            <v>394848</v>
          </cell>
        </row>
        <row r="195">
          <cell r="C195">
            <v>1091716</v>
          </cell>
        </row>
        <row r="209">
          <cell r="C209">
            <v>459720</v>
          </cell>
        </row>
      </sheetData>
      <sheetData sheetId="16">
        <row r="186">
          <cell r="D186">
            <v>180000</v>
          </cell>
          <cell r="E186">
            <v>31860</v>
          </cell>
          <cell r="F186">
            <v>29736.000000000004</v>
          </cell>
        </row>
        <row r="195">
          <cell r="D195">
            <v>1077936</v>
          </cell>
          <cell r="E195">
            <v>190794.67199999999</v>
          </cell>
          <cell r="F195">
            <v>178075.02720000001</v>
          </cell>
        </row>
        <row r="209">
          <cell r="D209">
            <v>780000</v>
          </cell>
          <cell r="E209">
            <v>138060</v>
          </cell>
          <cell r="F209">
            <v>128856.00000000001</v>
          </cell>
        </row>
      </sheetData>
      <sheetData sheetId="17">
        <row r="209">
          <cell r="F209">
            <v>958850</v>
          </cell>
          <cell r="H209">
            <v>186975.75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12"/>
      <sheetName val="01."/>
      <sheetName val="02."/>
      <sheetName val="03."/>
      <sheetName val="04."/>
      <sheetName val="05."/>
      <sheetName val="06."/>
      <sheetName val="07."/>
      <sheetName val="08."/>
      <sheetName val="09."/>
      <sheetName val="10."/>
      <sheetName val="11."/>
      <sheetName val="Összesen 1-11 hó"/>
      <sheetName val="Összesen rossz"/>
      <sheetName val="Megbízási díj"/>
      <sheetName val="Munkába járás"/>
      <sheetName val="Cafetéria"/>
      <sheetName val="Egyé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5">
          <cell r="AG185">
            <v>8377800</v>
          </cell>
          <cell r="AH185">
            <v>1633671</v>
          </cell>
        </row>
      </sheetData>
      <sheetData sheetId="13"/>
      <sheetData sheetId="14">
        <row r="4">
          <cell r="C4">
            <v>720000</v>
          </cell>
          <cell r="D4">
            <v>140400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10.sz.mell"/>
      <sheetName val="11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sz.mell"/>
      <sheetName val="20. sz.mell"/>
      <sheetName val="21. sz. melléklet"/>
    </sheetNames>
    <sheetDataSet>
      <sheetData sheetId="0"/>
      <sheetData sheetId="1">
        <row r="12">
          <cell r="E12">
            <v>189046507.33333331</v>
          </cell>
        </row>
        <row r="13">
          <cell r="E13">
            <v>0</v>
          </cell>
        </row>
        <row r="14">
          <cell r="E14">
            <v>158893725</v>
          </cell>
        </row>
        <row r="31">
          <cell r="E31">
            <v>122998649</v>
          </cell>
        </row>
        <row r="45">
          <cell r="E45">
            <v>31260000</v>
          </cell>
        </row>
        <row r="57">
          <cell r="E57">
            <v>46682847</v>
          </cell>
        </row>
        <row r="63">
          <cell r="E63">
            <v>800000</v>
          </cell>
        </row>
        <row r="66">
          <cell r="E66">
            <v>728940</v>
          </cell>
        </row>
        <row r="73">
          <cell r="E73">
            <v>22826285</v>
          </cell>
        </row>
        <row r="82">
          <cell r="B82" t="str">
            <v>Személyi  juttatások</v>
          </cell>
          <cell r="E82">
            <v>246574938</v>
          </cell>
        </row>
        <row r="83">
          <cell r="B83" t="str">
            <v>Munkaadókat terhelő járulékok és szociális hozzájárulási adó</v>
          </cell>
          <cell r="E83">
            <v>36548473.086842373</v>
          </cell>
        </row>
        <row r="84">
          <cell r="B84" t="str">
            <v>Dologi  kiadások</v>
          </cell>
          <cell r="E84">
            <v>101802890.53937007</v>
          </cell>
        </row>
        <row r="85">
          <cell r="B85" t="str">
            <v>Ellátottak pénzbeli juttatásai</v>
          </cell>
          <cell r="E85">
            <v>3100000</v>
          </cell>
        </row>
        <row r="86">
          <cell r="B86" t="str">
            <v>Egyéb működési célú kiadások</v>
          </cell>
          <cell r="E86">
            <v>20006550</v>
          </cell>
        </row>
        <row r="97">
          <cell r="E97">
            <v>114610550</v>
          </cell>
        </row>
        <row r="98">
          <cell r="E98">
            <v>43277714</v>
          </cell>
        </row>
        <row r="99">
          <cell r="E99">
            <v>565000</v>
          </cell>
        </row>
        <row r="110">
          <cell r="E110">
            <v>6750837</v>
          </cell>
        </row>
      </sheetData>
      <sheetData sheetId="2"/>
      <sheetData sheetId="3">
        <row r="20">
          <cell r="F20">
            <v>76950960</v>
          </cell>
        </row>
        <row r="38">
          <cell r="F38">
            <v>51582233.333333336</v>
          </cell>
        </row>
        <row r="55">
          <cell r="F55">
            <v>55117300</v>
          </cell>
        </row>
        <row r="59">
          <cell r="F59">
            <v>2720080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D6">
            <v>76950960</v>
          </cell>
          <cell r="E6">
            <v>76950960</v>
          </cell>
          <cell r="F6">
            <v>40087678</v>
          </cell>
        </row>
        <row r="7">
          <cell r="D7">
            <v>51582233.333333336</v>
          </cell>
          <cell r="E7">
            <v>52124351.333333299</v>
          </cell>
          <cell r="F7">
            <v>26639566</v>
          </cell>
        </row>
        <row r="8">
          <cell r="D8">
            <v>55117300</v>
          </cell>
          <cell r="E8">
            <v>53961340</v>
          </cell>
          <cell r="F8">
            <v>29698327</v>
          </cell>
        </row>
        <row r="9">
          <cell r="D9">
            <v>2720080</v>
          </cell>
          <cell r="E9">
            <v>2720080</v>
          </cell>
          <cell r="F9">
            <v>1902264</v>
          </cell>
        </row>
        <row r="10">
          <cell r="E10">
            <v>3289776</v>
          </cell>
          <cell r="F10">
            <v>1289776</v>
          </cell>
        </row>
        <row r="11">
          <cell r="F11">
            <v>0</v>
          </cell>
        </row>
        <row r="13">
          <cell r="F13">
            <v>0</v>
          </cell>
        </row>
        <row r="14">
          <cell r="F14">
            <v>97109337</v>
          </cell>
        </row>
        <row r="15">
          <cell r="D15">
            <v>1080000</v>
          </cell>
          <cell r="E15">
            <v>1080000</v>
          </cell>
        </row>
        <row r="17">
          <cell r="F17">
            <v>0</v>
          </cell>
        </row>
        <row r="18">
          <cell r="D18">
            <v>3211000</v>
          </cell>
          <cell r="E18">
            <v>3211000</v>
          </cell>
        </row>
        <row r="19">
          <cell r="D19">
            <v>5154000</v>
          </cell>
          <cell r="E19">
            <v>5154000</v>
          </cell>
        </row>
        <row r="20">
          <cell r="D20">
            <v>147083115</v>
          </cell>
          <cell r="E20">
            <v>147083115</v>
          </cell>
        </row>
        <row r="23">
          <cell r="E23">
            <v>8368284</v>
          </cell>
          <cell r="F23">
            <v>8368284</v>
          </cell>
        </row>
        <row r="25">
          <cell r="D25">
            <v>8368284</v>
          </cell>
        </row>
        <row r="26">
          <cell r="D26">
            <v>114630365</v>
          </cell>
          <cell r="E26">
            <v>114630365</v>
          </cell>
          <cell r="F26">
            <v>17327978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D36">
            <v>5500000</v>
          </cell>
          <cell r="E36">
            <v>5500000</v>
          </cell>
          <cell r="F36">
            <v>2215821</v>
          </cell>
        </row>
        <row r="38">
          <cell r="D38">
            <v>19500000</v>
          </cell>
          <cell r="E38">
            <v>19500000</v>
          </cell>
          <cell r="F38">
            <v>13938899</v>
          </cell>
        </row>
        <row r="39">
          <cell r="F39">
            <v>0</v>
          </cell>
        </row>
        <row r="40">
          <cell r="D40">
            <v>3500000</v>
          </cell>
          <cell r="E40">
            <v>3500000</v>
          </cell>
          <cell r="F40">
            <v>1818740</v>
          </cell>
        </row>
        <row r="42">
          <cell r="D42">
            <v>160000</v>
          </cell>
          <cell r="E42">
            <v>160000</v>
          </cell>
        </row>
        <row r="43">
          <cell r="D43">
            <v>2600000</v>
          </cell>
          <cell r="E43">
            <v>2600000</v>
          </cell>
          <cell r="F43">
            <v>695779</v>
          </cell>
        </row>
        <row r="44">
          <cell r="F44">
            <v>0</v>
          </cell>
        </row>
        <row r="46">
          <cell r="D46">
            <v>11323866</v>
          </cell>
          <cell r="E46">
            <v>11323866</v>
          </cell>
          <cell r="F46">
            <v>2372475</v>
          </cell>
        </row>
        <row r="47">
          <cell r="D47">
            <v>10853933</v>
          </cell>
          <cell r="E47">
            <v>10853933</v>
          </cell>
          <cell r="F47">
            <v>7305007</v>
          </cell>
        </row>
        <row r="48">
          <cell r="D48">
            <v>4003802</v>
          </cell>
          <cell r="E48">
            <v>4003802</v>
          </cell>
          <cell r="F48">
            <v>134010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325</v>
          </cell>
          <cell r="E50">
            <v>1344198</v>
          </cell>
          <cell r="F50">
            <v>1344198</v>
          </cell>
        </row>
        <row r="51">
          <cell r="D51">
            <v>2903199</v>
          </cell>
          <cell r="E51">
            <v>2903199</v>
          </cell>
          <cell r="F51">
            <v>780935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26</v>
          </cell>
          <cell r="F53">
            <v>26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7268849</v>
          </cell>
          <cell r="E56">
            <v>15509858</v>
          </cell>
          <cell r="F56">
            <v>47441</v>
          </cell>
        </row>
        <row r="59">
          <cell r="D59">
            <v>600000</v>
          </cell>
          <cell r="E59">
            <v>800000</v>
          </cell>
          <cell r="F59">
            <v>300000</v>
          </cell>
        </row>
        <row r="64">
          <cell r="E64">
            <v>152940</v>
          </cell>
          <cell r="F64">
            <v>152940</v>
          </cell>
        </row>
        <row r="65">
          <cell r="E65">
            <v>76000</v>
          </cell>
          <cell r="F65">
            <v>76000</v>
          </cell>
        </row>
        <row r="73">
          <cell r="D73">
            <v>21202318</v>
          </cell>
          <cell r="E73">
            <v>21202318</v>
          </cell>
          <cell r="F73">
            <v>4786508</v>
          </cell>
        </row>
        <row r="81">
          <cell r="D81">
            <v>160637797.43735763</v>
          </cell>
          <cell r="E81">
            <v>161129628</v>
          </cell>
          <cell r="F81">
            <v>85450018</v>
          </cell>
        </row>
        <row r="82">
          <cell r="D82">
            <v>19811728.062642369</v>
          </cell>
          <cell r="E82">
            <v>19811728.062642369</v>
          </cell>
          <cell r="F82">
            <v>11165296</v>
          </cell>
        </row>
        <row r="83">
          <cell r="D83">
            <v>79542551.299212605</v>
          </cell>
          <cell r="E83">
            <v>79384537</v>
          </cell>
          <cell r="F83">
            <v>38517878</v>
          </cell>
        </row>
        <row r="84">
          <cell r="D84">
            <v>3100000</v>
          </cell>
          <cell r="E84">
            <v>3100000</v>
          </cell>
          <cell r="F84">
            <v>328000</v>
          </cell>
        </row>
        <row r="86">
          <cell r="D86">
            <v>5492702</v>
          </cell>
          <cell r="E86">
            <v>15077584</v>
          </cell>
          <cell r="F86">
            <v>100000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2700000</v>
          </cell>
          <cell r="E91">
            <v>2700000</v>
          </cell>
          <cell r="F91">
            <v>2562000</v>
          </cell>
        </row>
        <row r="92">
          <cell r="D92">
            <v>0</v>
          </cell>
          <cell r="E92">
            <v>2228966</v>
          </cell>
          <cell r="F92">
            <v>0</v>
          </cell>
        </row>
        <row r="93">
          <cell r="E93">
            <v>2228966</v>
          </cell>
        </row>
        <row r="96">
          <cell r="D96">
            <v>113110550</v>
          </cell>
          <cell r="E96">
            <v>113110550</v>
          </cell>
          <cell r="F96">
            <v>56000</v>
          </cell>
        </row>
        <row r="97">
          <cell r="D97">
            <v>43127714</v>
          </cell>
          <cell r="E97">
            <v>43127714</v>
          </cell>
        </row>
        <row r="98">
          <cell r="F98">
            <v>0</v>
          </cell>
        </row>
        <row r="104">
          <cell r="D104">
            <v>565000</v>
          </cell>
          <cell r="E104">
            <v>565000</v>
          </cell>
        </row>
        <row r="109">
          <cell r="D109">
            <v>6750837</v>
          </cell>
          <cell r="E109">
            <v>6750837</v>
          </cell>
          <cell r="F109">
            <v>6750837</v>
          </cell>
        </row>
      </sheetData>
      <sheetData sheetId="10">
        <row r="9">
          <cell r="E9">
            <v>746330</v>
          </cell>
        </row>
        <row r="10">
          <cell r="F10">
            <v>746330</v>
          </cell>
        </row>
        <row r="15"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21">
          <cell r="F21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E28">
            <v>3200</v>
          </cell>
          <cell r="F28">
            <v>3200</v>
          </cell>
        </row>
        <row r="31">
          <cell r="F31">
            <v>0</v>
          </cell>
        </row>
        <row r="35">
          <cell r="D35">
            <v>1102783</v>
          </cell>
          <cell r="E35">
            <v>1102783</v>
          </cell>
          <cell r="F35">
            <v>1102783</v>
          </cell>
        </row>
        <row r="39">
          <cell r="D39">
            <v>39950643</v>
          </cell>
        </row>
        <row r="47">
          <cell r="D47">
            <v>25084754</v>
          </cell>
          <cell r="E47">
            <v>25649754</v>
          </cell>
          <cell r="F47">
            <v>14378750</v>
          </cell>
        </row>
        <row r="48">
          <cell r="D48">
            <v>4864374.5892000012</v>
          </cell>
          <cell r="E48">
            <v>4992601.5892000003</v>
          </cell>
          <cell r="F48">
            <v>3323613</v>
          </cell>
        </row>
        <row r="49">
          <cell r="D49">
            <v>11004297.409448819</v>
          </cell>
          <cell r="E49">
            <v>11060600</v>
          </cell>
          <cell r="F49">
            <v>3790735</v>
          </cell>
        </row>
        <row r="50">
          <cell r="F50">
            <v>0</v>
          </cell>
        </row>
        <row r="53">
          <cell r="D53">
            <v>100000</v>
          </cell>
          <cell r="E53">
            <v>100000</v>
          </cell>
        </row>
      </sheetData>
      <sheetData sheetId="11">
        <row r="6">
          <cell r="D6">
            <v>300000</v>
          </cell>
          <cell r="E6">
            <v>1619280</v>
          </cell>
        </row>
        <row r="10">
          <cell r="F10">
            <v>496105</v>
          </cell>
        </row>
        <row r="15">
          <cell r="E15">
            <v>0</v>
          </cell>
          <cell r="F15">
            <v>0</v>
          </cell>
        </row>
        <row r="16">
          <cell r="E16">
            <v>2800</v>
          </cell>
          <cell r="F16">
            <v>2800</v>
          </cell>
        </row>
        <row r="17">
          <cell r="D17">
            <v>574803</v>
          </cell>
          <cell r="E17">
            <v>574803</v>
          </cell>
          <cell r="F17">
            <v>380880</v>
          </cell>
        </row>
        <row r="18">
          <cell r="D18">
            <v>0</v>
          </cell>
          <cell r="E18">
            <v>0</v>
          </cell>
        </row>
        <row r="23">
          <cell r="D23">
            <v>155197</v>
          </cell>
          <cell r="E23">
            <v>155197</v>
          </cell>
          <cell r="F23">
            <v>33361</v>
          </cell>
        </row>
        <row r="28">
          <cell r="E28">
            <v>2106</v>
          </cell>
          <cell r="F28">
            <v>2106</v>
          </cell>
        </row>
        <row r="31">
          <cell r="D31">
            <v>500000</v>
          </cell>
          <cell r="E31">
            <v>500000</v>
          </cell>
          <cell r="F31">
            <v>185500</v>
          </cell>
        </row>
        <row r="35">
          <cell r="D35">
            <v>289995</v>
          </cell>
          <cell r="E35">
            <v>289995</v>
          </cell>
          <cell r="F35">
            <v>289995</v>
          </cell>
        </row>
        <row r="37">
          <cell r="D37">
            <v>20203584</v>
          </cell>
        </row>
        <row r="47">
          <cell r="D47">
            <v>9642448</v>
          </cell>
          <cell r="E47">
            <v>11043948</v>
          </cell>
          <cell r="F47">
            <v>5024027</v>
          </cell>
        </row>
        <row r="48">
          <cell r="D48">
            <v>1847023</v>
          </cell>
          <cell r="E48">
            <v>2120315.5</v>
          </cell>
          <cell r="F48">
            <v>1025543</v>
          </cell>
        </row>
        <row r="49">
          <cell r="D49">
            <v>9684107.9921259843</v>
          </cell>
          <cell r="E49">
            <v>9333501.4921259806</v>
          </cell>
          <cell r="F49">
            <v>2373206</v>
          </cell>
        </row>
        <row r="53">
          <cell r="D53">
            <v>850000</v>
          </cell>
          <cell r="E53">
            <v>850000</v>
          </cell>
        </row>
      </sheetData>
      <sheetData sheetId="12">
        <row r="10">
          <cell r="F10">
            <v>0</v>
          </cell>
        </row>
        <row r="15"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E28">
            <v>5859</v>
          </cell>
          <cell r="F28">
            <v>5859</v>
          </cell>
        </row>
        <row r="31">
          <cell r="F31">
            <v>0</v>
          </cell>
        </row>
        <row r="35">
          <cell r="D35">
            <v>213189</v>
          </cell>
          <cell r="E35">
            <v>231189</v>
          </cell>
          <cell r="F35">
            <v>231189</v>
          </cell>
        </row>
        <row r="37">
          <cell r="D37">
            <v>60320522.333333336</v>
          </cell>
        </row>
        <row r="47">
          <cell r="D47">
            <v>48320743</v>
          </cell>
          <cell r="E47">
            <v>48751608</v>
          </cell>
          <cell r="F47">
            <v>23442285</v>
          </cell>
        </row>
        <row r="48">
          <cell r="D48">
            <v>9539808.9350000005</v>
          </cell>
          <cell r="E48">
            <v>9623827.9350000005</v>
          </cell>
          <cell r="F48">
            <v>5002824</v>
          </cell>
        </row>
        <row r="49">
          <cell r="D49">
            <v>1973159.0472440943</v>
          </cell>
          <cell r="E49">
            <v>2024252.0472440899</v>
          </cell>
          <cell r="F49">
            <v>775797</v>
          </cell>
        </row>
        <row r="50">
          <cell r="F50">
            <v>0</v>
          </cell>
        </row>
        <row r="53">
          <cell r="D53">
            <v>550000</v>
          </cell>
          <cell r="E53">
            <v>550000</v>
          </cell>
        </row>
        <row r="54">
          <cell r="D54">
            <v>150000</v>
          </cell>
          <cell r="E54">
            <v>150000</v>
          </cell>
        </row>
        <row r="55">
          <cell r="F5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sqref="A1:C2"/>
    </sheetView>
  </sheetViews>
  <sheetFormatPr defaultColWidth="10.6640625" defaultRowHeight="12.75" x14ac:dyDescent="0.2"/>
  <cols>
    <col min="1" max="2" width="8.83203125" style="505" customWidth="1"/>
    <col min="3" max="3" width="73.5" style="481" customWidth="1"/>
    <col min="4" max="256" width="10.6640625" style="481"/>
    <col min="257" max="258" width="8.83203125" style="481" customWidth="1"/>
    <col min="259" max="259" width="73.5" style="481" customWidth="1"/>
    <col min="260" max="512" width="10.6640625" style="481"/>
    <col min="513" max="514" width="8.83203125" style="481" customWidth="1"/>
    <col min="515" max="515" width="73.5" style="481" customWidth="1"/>
    <col min="516" max="768" width="10.6640625" style="481"/>
    <col min="769" max="770" width="8.83203125" style="481" customWidth="1"/>
    <col min="771" max="771" width="73.5" style="481" customWidth="1"/>
    <col min="772" max="1024" width="10.6640625" style="481"/>
    <col min="1025" max="1026" width="8.83203125" style="481" customWidth="1"/>
    <col min="1027" max="1027" width="73.5" style="481" customWidth="1"/>
    <col min="1028" max="1280" width="10.6640625" style="481"/>
    <col min="1281" max="1282" width="8.83203125" style="481" customWidth="1"/>
    <col min="1283" max="1283" width="73.5" style="481" customWidth="1"/>
    <col min="1284" max="1536" width="10.6640625" style="481"/>
    <col min="1537" max="1538" width="8.83203125" style="481" customWidth="1"/>
    <col min="1539" max="1539" width="73.5" style="481" customWidth="1"/>
    <col min="1540" max="1792" width="10.6640625" style="481"/>
    <col min="1793" max="1794" width="8.83203125" style="481" customWidth="1"/>
    <col min="1795" max="1795" width="73.5" style="481" customWidth="1"/>
    <col min="1796" max="2048" width="10.6640625" style="481"/>
    <col min="2049" max="2050" width="8.83203125" style="481" customWidth="1"/>
    <col min="2051" max="2051" width="73.5" style="481" customWidth="1"/>
    <col min="2052" max="2304" width="10.6640625" style="481"/>
    <col min="2305" max="2306" width="8.83203125" style="481" customWidth="1"/>
    <col min="2307" max="2307" width="73.5" style="481" customWidth="1"/>
    <col min="2308" max="2560" width="10.6640625" style="481"/>
    <col min="2561" max="2562" width="8.83203125" style="481" customWidth="1"/>
    <col min="2563" max="2563" width="73.5" style="481" customWidth="1"/>
    <col min="2564" max="2816" width="10.6640625" style="481"/>
    <col min="2817" max="2818" width="8.83203125" style="481" customWidth="1"/>
    <col min="2819" max="2819" width="73.5" style="481" customWidth="1"/>
    <col min="2820" max="3072" width="10.6640625" style="481"/>
    <col min="3073" max="3074" width="8.83203125" style="481" customWidth="1"/>
    <col min="3075" max="3075" width="73.5" style="481" customWidth="1"/>
    <col min="3076" max="3328" width="10.6640625" style="481"/>
    <col min="3329" max="3330" width="8.83203125" style="481" customWidth="1"/>
    <col min="3331" max="3331" width="73.5" style="481" customWidth="1"/>
    <col min="3332" max="3584" width="10.6640625" style="481"/>
    <col min="3585" max="3586" width="8.83203125" style="481" customWidth="1"/>
    <col min="3587" max="3587" width="73.5" style="481" customWidth="1"/>
    <col min="3588" max="3840" width="10.6640625" style="481"/>
    <col min="3841" max="3842" width="8.83203125" style="481" customWidth="1"/>
    <col min="3843" max="3843" width="73.5" style="481" customWidth="1"/>
    <col min="3844" max="4096" width="10.6640625" style="481"/>
    <col min="4097" max="4098" width="8.83203125" style="481" customWidth="1"/>
    <col min="4099" max="4099" width="73.5" style="481" customWidth="1"/>
    <col min="4100" max="4352" width="10.6640625" style="481"/>
    <col min="4353" max="4354" width="8.83203125" style="481" customWidth="1"/>
    <col min="4355" max="4355" width="73.5" style="481" customWidth="1"/>
    <col min="4356" max="4608" width="10.6640625" style="481"/>
    <col min="4609" max="4610" width="8.83203125" style="481" customWidth="1"/>
    <col min="4611" max="4611" width="73.5" style="481" customWidth="1"/>
    <col min="4612" max="4864" width="10.6640625" style="481"/>
    <col min="4865" max="4866" width="8.83203125" style="481" customWidth="1"/>
    <col min="4867" max="4867" width="73.5" style="481" customWidth="1"/>
    <col min="4868" max="5120" width="10.6640625" style="481"/>
    <col min="5121" max="5122" width="8.83203125" style="481" customWidth="1"/>
    <col min="5123" max="5123" width="73.5" style="481" customWidth="1"/>
    <col min="5124" max="5376" width="10.6640625" style="481"/>
    <col min="5377" max="5378" width="8.83203125" style="481" customWidth="1"/>
    <col min="5379" max="5379" width="73.5" style="481" customWidth="1"/>
    <col min="5380" max="5632" width="10.6640625" style="481"/>
    <col min="5633" max="5634" width="8.83203125" style="481" customWidth="1"/>
    <col min="5635" max="5635" width="73.5" style="481" customWidth="1"/>
    <col min="5636" max="5888" width="10.6640625" style="481"/>
    <col min="5889" max="5890" width="8.83203125" style="481" customWidth="1"/>
    <col min="5891" max="5891" width="73.5" style="481" customWidth="1"/>
    <col min="5892" max="6144" width="10.6640625" style="481"/>
    <col min="6145" max="6146" width="8.83203125" style="481" customWidth="1"/>
    <col min="6147" max="6147" width="73.5" style="481" customWidth="1"/>
    <col min="6148" max="6400" width="10.6640625" style="481"/>
    <col min="6401" max="6402" width="8.83203125" style="481" customWidth="1"/>
    <col min="6403" max="6403" width="73.5" style="481" customWidth="1"/>
    <col min="6404" max="6656" width="10.6640625" style="481"/>
    <col min="6657" max="6658" width="8.83203125" style="481" customWidth="1"/>
    <col min="6659" max="6659" width="73.5" style="481" customWidth="1"/>
    <col min="6660" max="6912" width="10.6640625" style="481"/>
    <col min="6913" max="6914" width="8.83203125" style="481" customWidth="1"/>
    <col min="6915" max="6915" width="73.5" style="481" customWidth="1"/>
    <col min="6916" max="7168" width="10.6640625" style="481"/>
    <col min="7169" max="7170" width="8.83203125" style="481" customWidth="1"/>
    <col min="7171" max="7171" width="73.5" style="481" customWidth="1"/>
    <col min="7172" max="7424" width="10.6640625" style="481"/>
    <col min="7425" max="7426" width="8.83203125" style="481" customWidth="1"/>
    <col min="7427" max="7427" width="73.5" style="481" customWidth="1"/>
    <col min="7428" max="7680" width="10.6640625" style="481"/>
    <col min="7681" max="7682" width="8.83203125" style="481" customWidth="1"/>
    <col min="7683" max="7683" width="73.5" style="481" customWidth="1"/>
    <col min="7684" max="7936" width="10.6640625" style="481"/>
    <col min="7937" max="7938" width="8.83203125" style="481" customWidth="1"/>
    <col min="7939" max="7939" width="73.5" style="481" customWidth="1"/>
    <col min="7940" max="8192" width="10.6640625" style="481"/>
    <col min="8193" max="8194" width="8.83203125" style="481" customWidth="1"/>
    <col min="8195" max="8195" width="73.5" style="481" customWidth="1"/>
    <col min="8196" max="8448" width="10.6640625" style="481"/>
    <col min="8449" max="8450" width="8.83203125" style="481" customWidth="1"/>
    <col min="8451" max="8451" width="73.5" style="481" customWidth="1"/>
    <col min="8452" max="8704" width="10.6640625" style="481"/>
    <col min="8705" max="8706" width="8.83203125" style="481" customWidth="1"/>
    <col min="8707" max="8707" width="73.5" style="481" customWidth="1"/>
    <col min="8708" max="8960" width="10.6640625" style="481"/>
    <col min="8961" max="8962" width="8.83203125" style="481" customWidth="1"/>
    <col min="8963" max="8963" width="73.5" style="481" customWidth="1"/>
    <col min="8964" max="9216" width="10.6640625" style="481"/>
    <col min="9217" max="9218" width="8.83203125" style="481" customWidth="1"/>
    <col min="9219" max="9219" width="73.5" style="481" customWidth="1"/>
    <col min="9220" max="9472" width="10.6640625" style="481"/>
    <col min="9473" max="9474" width="8.83203125" style="481" customWidth="1"/>
    <col min="9475" max="9475" width="73.5" style="481" customWidth="1"/>
    <col min="9476" max="9728" width="10.6640625" style="481"/>
    <col min="9729" max="9730" width="8.83203125" style="481" customWidth="1"/>
    <col min="9731" max="9731" width="73.5" style="481" customWidth="1"/>
    <col min="9732" max="9984" width="10.6640625" style="481"/>
    <col min="9985" max="9986" width="8.83203125" style="481" customWidth="1"/>
    <col min="9987" max="9987" width="73.5" style="481" customWidth="1"/>
    <col min="9988" max="10240" width="10.6640625" style="481"/>
    <col min="10241" max="10242" width="8.83203125" style="481" customWidth="1"/>
    <col min="10243" max="10243" width="73.5" style="481" customWidth="1"/>
    <col min="10244" max="10496" width="10.6640625" style="481"/>
    <col min="10497" max="10498" width="8.83203125" style="481" customWidth="1"/>
    <col min="10499" max="10499" width="73.5" style="481" customWidth="1"/>
    <col min="10500" max="10752" width="10.6640625" style="481"/>
    <col min="10753" max="10754" width="8.83203125" style="481" customWidth="1"/>
    <col min="10755" max="10755" width="73.5" style="481" customWidth="1"/>
    <col min="10756" max="11008" width="10.6640625" style="481"/>
    <col min="11009" max="11010" width="8.83203125" style="481" customWidth="1"/>
    <col min="11011" max="11011" width="73.5" style="481" customWidth="1"/>
    <col min="11012" max="11264" width="10.6640625" style="481"/>
    <col min="11265" max="11266" width="8.83203125" style="481" customWidth="1"/>
    <col min="11267" max="11267" width="73.5" style="481" customWidth="1"/>
    <col min="11268" max="11520" width="10.6640625" style="481"/>
    <col min="11521" max="11522" width="8.83203125" style="481" customWidth="1"/>
    <col min="11523" max="11523" width="73.5" style="481" customWidth="1"/>
    <col min="11524" max="11776" width="10.6640625" style="481"/>
    <col min="11777" max="11778" width="8.83203125" style="481" customWidth="1"/>
    <col min="11779" max="11779" width="73.5" style="481" customWidth="1"/>
    <col min="11780" max="12032" width="10.6640625" style="481"/>
    <col min="12033" max="12034" width="8.83203125" style="481" customWidth="1"/>
    <col min="12035" max="12035" width="73.5" style="481" customWidth="1"/>
    <col min="12036" max="12288" width="10.6640625" style="481"/>
    <col min="12289" max="12290" width="8.83203125" style="481" customWidth="1"/>
    <col min="12291" max="12291" width="73.5" style="481" customWidth="1"/>
    <col min="12292" max="12544" width="10.6640625" style="481"/>
    <col min="12545" max="12546" width="8.83203125" style="481" customWidth="1"/>
    <col min="12547" max="12547" width="73.5" style="481" customWidth="1"/>
    <col min="12548" max="12800" width="10.6640625" style="481"/>
    <col min="12801" max="12802" width="8.83203125" style="481" customWidth="1"/>
    <col min="12803" max="12803" width="73.5" style="481" customWidth="1"/>
    <col min="12804" max="13056" width="10.6640625" style="481"/>
    <col min="13057" max="13058" width="8.83203125" style="481" customWidth="1"/>
    <col min="13059" max="13059" width="73.5" style="481" customWidth="1"/>
    <col min="13060" max="13312" width="10.6640625" style="481"/>
    <col min="13313" max="13314" width="8.83203125" style="481" customWidth="1"/>
    <col min="13315" max="13315" width="73.5" style="481" customWidth="1"/>
    <col min="13316" max="13568" width="10.6640625" style="481"/>
    <col min="13569" max="13570" width="8.83203125" style="481" customWidth="1"/>
    <col min="13571" max="13571" width="73.5" style="481" customWidth="1"/>
    <col min="13572" max="13824" width="10.6640625" style="481"/>
    <col min="13825" max="13826" width="8.83203125" style="481" customWidth="1"/>
    <col min="13827" max="13827" width="73.5" style="481" customWidth="1"/>
    <col min="13828" max="14080" width="10.6640625" style="481"/>
    <col min="14081" max="14082" width="8.83203125" style="481" customWidth="1"/>
    <col min="14083" max="14083" width="73.5" style="481" customWidth="1"/>
    <col min="14084" max="14336" width="10.6640625" style="481"/>
    <col min="14337" max="14338" width="8.83203125" style="481" customWidth="1"/>
    <col min="14339" max="14339" width="73.5" style="481" customWidth="1"/>
    <col min="14340" max="14592" width="10.6640625" style="481"/>
    <col min="14593" max="14594" width="8.83203125" style="481" customWidth="1"/>
    <col min="14595" max="14595" width="73.5" style="481" customWidth="1"/>
    <col min="14596" max="14848" width="10.6640625" style="481"/>
    <col min="14849" max="14850" width="8.83203125" style="481" customWidth="1"/>
    <col min="14851" max="14851" width="73.5" style="481" customWidth="1"/>
    <col min="14852" max="15104" width="10.6640625" style="481"/>
    <col min="15105" max="15106" width="8.83203125" style="481" customWidth="1"/>
    <col min="15107" max="15107" width="73.5" style="481" customWidth="1"/>
    <col min="15108" max="15360" width="10.6640625" style="481"/>
    <col min="15361" max="15362" width="8.83203125" style="481" customWidth="1"/>
    <col min="15363" max="15363" width="73.5" style="481" customWidth="1"/>
    <col min="15364" max="15616" width="10.6640625" style="481"/>
    <col min="15617" max="15618" width="8.83203125" style="481" customWidth="1"/>
    <col min="15619" max="15619" width="73.5" style="481" customWidth="1"/>
    <col min="15620" max="15872" width="10.6640625" style="481"/>
    <col min="15873" max="15874" width="8.83203125" style="481" customWidth="1"/>
    <col min="15875" max="15875" width="73.5" style="481" customWidth="1"/>
    <col min="15876" max="16128" width="10.6640625" style="481"/>
    <col min="16129" max="16130" width="8.83203125" style="481" customWidth="1"/>
    <col min="16131" max="16131" width="73.5" style="481" customWidth="1"/>
    <col min="16132" max="16384" width="10.6640625" style="481"/>
  </cols>
  <sheetData>
    <row r="1" spans="1:3" x14ac:dyDescent="0.2">
      <c r="A1" s="1093" t="s">
        <v>717</v>
      </c>
      <c r="B1" s="1094"/>
      <c r="C1" s="1095"/>
    </row>
    <row r="2" spans="1:3" ht="41.25" customHeight="1" x14ac:dyDescent="0.2">
      <c r="A2" s="1096"/>
      <c r="B2" s="1097"/>
      <c r="C2" s="1098"/>
    </row>
    <row r="4" spans="1:3" s="506" customFormat="1" ht="31.5" x14ac:dyDescent="0.2">
      <c r="A4" s="507" t="s">
        <v>551</v>
      </c>
      <c r="B4" s="508" t="s">
        <v>552</v>
      </c>
      <c r="C4" s="509" t="s">
        <v>553</v>
      </c>
    </row>
    <row r="5" spans="1:3" s="482" customFormat="1" ht="24" customHeight="1" x14ac:dyDescent="0.2">
      <c r="A5" s="911" t="s">
        <v>554</v>
      </c>
      <c r="B5" s="912"/>
      <c r="C5" s="913" t="s">
        <v>716</v>
      </c>
    </row>
    <row r="6" spans="1:3" s="482" customFormat="1" ht="24" customHeight="1" x14ac:dyDescent="0.2">
      <c r="A6" s="911" t="s">
        <v>555</v>
      </c>
      <c r="B6" s="912"/>
      <c r="C6" s="913" t="s">
        <v>556</v>
      </c>
    </row>
    <row r="7" spans="1:3" s="482" customFormat="1" ht="24" customHeight="1" x14ac:dyDescent="0.2">
      <c r="A7" s="911"/>
      <c r="B7" s="912" t="s">
        <v>9</v>
      </c>
      <c r="C7" s="914" t="s">
        <v>718</v>
      </c>
    </row>
    <row r="8" spans="1:3" s="482" customFormat="1" ht="24" customHeight="1" x14ac:dyDescent="0.2">
      <c r="A8" s="911" t="s">
        <v>353</v>
      </c>
      <c r="B8" s="912"/>
      <c r="C8" s="913" t="s">
        <v>557</v>
      </c>
    </row>
    <row r="9" spans="1:3" s="482" customFormat="1" ht="24" customHeight="1" x14ac:dyDescent="0.2">
      <c r="A9" s="912"/>
      <c r="B9" s="912" t="s">
        <v>9</v>
      </c>
      <c r="C9" s="914" t="s">
        <v>719</v>
      </c>
    </row>
    <row r="10" spans="1:3" s="482" customFormat="1" ht="24" customHeight="1" x14ac:dyDescent="0.2">
      <c r="A10" s="912"/>
      <c r="B10" s="912" t="s">
        <v>12</v>
      </c>
      <c r="C10" s="914" t="s">
        <v>720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view="pageBreakPreview" zoomScale="60" zoomScaleNormal="100" workbookViewId="0">
      <selection activeCell="B33" sqref="B33:F33"/>
    </sheetView>
  </sheetViews>
  <sheetFormatPr defaultRowHeight="12.75" x14ac:dyDescent="0.2"/>
  <cols>
    <col min="1" max="1" width="34.83203125" style="996" customWidth="1"/>
    <col min="2" max="6" width="16.5" style="996" customWidth="1"/>
    <col min="7" max="7" width="13.83203125" style="996" customWidth="1"/>
    <col min="8" max="257" width="9.33203125" style="996"/>
    <col min="258" max="258" width="34.83203125" style="996" customWidth="1"/>
    <col min="259" max="262" width="16.5" style="996" customWidth="1"/>
    <col min="263" max="263" width="13.83203125" style="996" customWidth="1"/>
    <col min="264" max="513" width="9.33203125" style="996"/>
    <col min="514" max="514" width="34.83203125" style="996" customWidth="1"/>
    <col min="515" max="518" width="16.5" style="996" customWidth="1"/>
    <col min="519" max="519" width="13.83203125" style="996" customWidth="1"/>
    <col min="520" max="769" width="9.33203125" style="996"/>
    <col min="770" max="770" width="34.83203125" style="996" customWidth="1"/>
    <col min="771" max="774" width="16.5" style="996" customWidth="1"/>
    <col min="775" max="775" width="13.83203125" style="996" customWidth="1"/>
    <col min="776" max="1025" width="9.33203125" style="996"/>
    <col min="1026" max="1026" width="34.83203125" style="996" customWidth="1"/>
    <col min="1027" max="1030" width="16.5" style="996" customWidth="1"/>
    <col min="1031" max="1031" width="13.83203125" style="996" customWidth="1"/>
    <col min="1032" max="1281" width="9.33203125" style="996"/>
    <col min="1282" max="1282" width="34.83203125" style="996" customWidth="1"/>
    <col min="1283" max="1286" width="16.5" style="996" customWidth="1"/>
    <col min="1287" max="1287" width="13.83203125" style="996" customWidth="1"/>
    <col min="1288" max="1537" width="9.33203125" style="996"/>
    <col min="1538" max="1538" width="34.83203125" style="996" customWidth="1"/>
    <col min="1539" max="1542" width="16.5" style="996" customWidth="1"/>
    <col min="1543" max="1543" width="13.83203125" style="996" customWidth="1"/>
    <col min="1544" max="1793" width="9.33203125" style="996"/>
    <col min="1794" max="1794" width="34.83203125" style="996" customWidth="1"/>
    <col min="1795" max="1798" width="16.5" style="996" customWidth="1"/>
    <col min="1799" max="1799" width="13.83203125" style="996" customWidth="1"/>
    <col min="1800" max="2049" width="9.33203125" style="996"/>
    <col min="2050" max="2050" width="34.83203125" style="996" customWidth="1"/>
    <col min="2051" max="2054" width="16.5" style="996" customWidth="1"/>
    <col min="2055" max="2055" width="13.83203125" style="996" customWidth="1"/>
    <col min="2056" max="2305" width="9.33203125" style="996"/>
    <col min="2306" max="2306" width="34.83203125" style="996" customWidth="1"/>
    <col min="2307" max="2310" width="16.5" style="996" customWidth="1"/>
    <col min="2311" max="2311" width="13.83203125" style="996" customWidth="1"/>
    <col min="2312" max="2561" width="9.33203125" style="996"/>
    <col min="2562" max="2562" width="34.83203125" style="996" customWidth="1"/>
    <col min="2563" max="2566" width="16.5" style="996" customWidth="1"/>
    <col min="2567" max="2567" width="13.83203125" style="996" customWidth="1"/>
    <col min="2568" max="2817" width="9.33203125" style="996"/>
    <col min="2818" max="2818" width="34.83203125" style="996" customWidth="1"/>
    <col min="2819" max="2822" width="16.5" style="996" customWidth="1"/>
    <col min="2823" max="2823" width="13.83203125" style="996" customWidth="1"/>
    <col min="2824" max="3073" width="9.33203125" style="996"/>
    <col min="3074" max="3074" width="34.83203125" style="996" customWidth="1"/>
    <col min="3075" max="3078" width="16.5" style="996" customWidth="1"/>
    <col min="3079" max="3079" width="13.83203125" style="996" customWidth="1"/>
    <col min="3080" max="3329" width="9.33203125" style="996"/>
    <col min="3330" max="3330" width="34.83203125" style="996" customWidth="1"/>
    <col min="3331" max="3334" width="16.5" style="996" customWidth="1"/>
    <col min="3335" max="3335" width="13.83203125" style="996" customWidth="1"/>
    <col min="3336" max="3585" width="9.33203125" style="996"/>
    <col min="3586" max="3586" width="34.83203125" style="996" customWidth="1"/>
    <col min="3587" max="3590" width="16.5" style="996" customWidth="1"/>
    <col min="3591" max="3591" width="13.83203125" style="996" customWidth="1"/>
    <col min="3592" max="3841" width="9.33203125" style="996"/>
    <col min="3842" max="3842" width="34.83203125" style="996" customWidth="1"/>
    <col min="3843" max="3846" width="16.5" style="996" customWidth="1"/>
    <col min="3847" max="3847" width="13.83203125" style="996" customWidth="1"/>
    <col min="3848" max="4097" width="9.33203125" style="996"/>
    <col min="4098" max="4098" width="34.83203125" style="996" customWidth="1"/>
    <col min="4099" max="4102" width="16.5" style="996" customWidth="1"/>
    <col min="4103" max="4103" width="13.83203125" style="996" customWidth="1"/>
    <col min="4104" max="4353" width="9.33203125" style="996"/>
    <col min="4354" max="4354" width="34.83203125" style="996" customWidth="1"/>
    <col min="4355" max="4358" width="16.5" style="996" customWidth="1"/>
    <col min="4359" max="4359" width="13.83203125" style="996" customWidth="1"/>
    <col min="4360" max="4609" width="9.33203125" style="996"/>
    <col min="4610" max="4610" width="34.83203125" style="996" customWidth="1"/>
    <col min="4611" max="4614" width="16.5" style="996" customWidth="1"/>
    <col min="4615" max="4615" width="13.83203125" style="996" customWidth="1"/>
    <col min="4616" max="4865" width="9.33203125" style="996"/>
    <col min="4866" max="4866" width="34.83203125" style="996" customWidth="1"/>
    <col min="4867" max="4870" width="16.5" style="996" customWidth="1"/>
    <col min="4871" max="4871" width="13.83203125" style="996" customWidth="1"/>
    <col min="4872" max="5121" width="9.33203125" style="996"/>
    <col min="5122" max="5122" width="34.83203125" style="996" customWidth="1"/>
    <col min="5123" max="5126" width="16.5" style="996" customWidth="1"/>
    <col min="5127" max="5127" width="13.83203125" style="996" customWidth="1"/>
    <col min="5128" max="5377" width="9.33203125" style="996"/>
    <col min="5378" max="5378" width="34.83203125" style="996" customWidth="1"/>
    <col min="5379" max="5382" width="16.5" style="996" customWidth="1"/>
    <col min="5383" max="5383" width="13.83203125" style="996" customWidth="1"/>
    <col min="5384" max="5633" width="9.33203125" style="996"/>
    <col min="5634" max="5634" width="34.83203125" style="996" customWidth="1"/>
    <col min="5635" max="5638" width="16.5" style="996" customWidth="1"/>
    <col min="5639" max="5639" width="13.83203125" style="996" customWidth="1"/>
    <col min="5640" max="5889" width="9.33203125" style="996"/>
    <col min="5890" max="5890" width="34.83203125" style="996" customWidth="1"/>
    <col min="5891" max="5894" width="16.5" style="996" customWidth="1"/>
    <col min="5895" max="5895" width="13.83203125" style="996" customWidth="1"/>
    <col min="5896" max="6145" width="9.33203125" style="996"/>
    <col min="6146" max="6146" width="34.83203125" style="996" customWidth="1"/>
    <col min="6147" max="6150" width="16.5" style="996" customWidth="1"/>
    <col min="6151" max="6151" width="13.83203125" style="996" customWidth="1"/>
    <col min="6152" max="6401" width="9.33203125" style="996"/>
    <col min="6402" max="6402" width="34.83203125" style="996" customWidth="1"/>
    <col min="6403" max="6406" width="16.5" style="996" customWidth="1"/>
    <col min="6407" max="6407" width="13.83203125" style="996" customWidth="1"/>
    <col min="6408" max="6657" width="9.33203125" style="996"/>
    <col min="6658" max="6658" width="34.83203125" style="996" customWidth="1"/>
    <col min="6659" max="6662" width="16.5" style="996" customWidth="1"/>
    <col min="6663" max="6663" width="13.83203125" style="996" customWidth="1"/>
    <col min="6664" max="6913" width="9.33203125" style="996"/>
    <col min="6914" max="6914" width="34.83203125" style="996" customWidth="1"/>
    <col min="6915" max="6918" width="16.5" style="996" customWidth="1"/>
    <col min="6919" max="6919" width="13.83203125" style="996" customWidth="1"/>
    <col min="6920" max="7169" width="9.33203125" style="996"/>
    <col min="7170" max="7170" width="34.83203125" style="996" customWidth="1"/>
    <col min="7171" max="7174" width="16.5" style="996" customWidth="1"/>
    <col min="7175" max="7175" width="13.83203125" style="996" customWidth="1"/>
    <col min="7176" max="7425" width="9.33203125" style="996"/>
    <col min="7426" max="7426" width="34.83203125" style="996" customWidth="1"/>
    <col min="7427" max="7430" width="16.5" style="996" customWidth="1"/>
    <col min="7431" max="7431" width="13.83203125" style="996" customWidth="1"/>
    <col min="7432" max="7681" width="9.33203125" style="996"/>
    <col min="7682" max="7682" width="34.83203125" style="996" customWidth="1"/>
    <col min="7683" max="7686" width="16.5" style="996" customWidth="1"/>
    <col min="7687" max="7687" width="13.83203125" style="996" customWidth="1"/>
    <col min="7688" max="7937" width="9.33203125" style="996"/>
    <col min="7938" max="7938" width="34.83203125" style="996" customWidth="1"/>
    <col min="7939" max="7942" width="16.5" style="996" customWidth="1"/>
    <col min="7943" max="7943" width="13.83203125" style="996" customWidth="1"/>
    <col min="7944" max="8193" width="9.33203125" style="996"/>
    <col min="8194" max="8194" width="34.83203125" style="996" customWidth="1"/>
    <col min="8195" max="8198" width="16.5" style="996" customWidth="1"/>
    <col min="8199" max="8199" width="13.83203125" style="996" customWidth="1"/>
    <col min="8200" max="8449" width="9.33203125" style="996"/>
    <col min="8450" max="8450" width="34.83203125" style="996" customWidth="1"/>
    <col min="8451" max="8454" width="16.5" style="996" customWidth="1"/>
    <col min="8455" max="8455" width="13.83203125" style="996" customWidth="1"/>
    <col min="8456" max="8705" width="9.33203125" style="996"/>
    <col min="8706" max="8706" width="34.83203125" style="996" customWidth="1"/>
    <col min="8707" max="8710" width="16.5" style="996" customWidth="1"/>
    <col min="8711" max="8711" width="13.83203125" style="996" customWidth="1"/>
    <col min="8712" max="8961" width="9.33203125" style="996"/>
    <col min="8962" max="8962" width="34.83203125" style="996" customWidth="1"/>
    <col min="8963" max="8966" width="16.5" style="996" customWidth="1"/>
    <col min="8967" max="8967" width="13.83203125" style="996" customWidth="1"/>
    <col min="8968" max="9217" width="9.33203125" style="996"/>
    <col min="9218" max="9218" width="34.83203125" style="996" customWidth="1"/>
    <col min="9219" max="9222" width="16.5" style="996" customWidth="1"/>
    <col min="9223" max="9223" width="13.83203125" style="996" customWidth="1"/>
    <col min="9224" max="9473" width="9.33203125" style="996"/>
    <col min="9474" max="9474" width="34.83203125" style="996" customWidth="1"/>
    <col min="9475" max="9478" width="16.5" style="996" customWidth="1"/>
    <col min="9479" max="9479" width="13.83203125" style="996" customWidth="1"/>
    <col min="9480" max="9729" width="9.33203125" style="996"/>
    <col min="9730" max="9730" width="34.83203125" style="996" customWidth="1"/>
    <col min="9731" max="9734" width="16.5" style="996" customWidth="1"/>
    <col min="9735" max="9735" width="13.83203125" style="996" customWidth="1"/>
    <col min="9736" max="9985" width="9.33203125" style="996"/>
    <col min="9986" max="9986" width="34.83203125" style="996" customWidth="1"/>
    <col min="9987" max="9990" width="16.5" style="996" customWidth="1"/>
    <col min="9991" max="9991" width="13.83203125" style="996" customWidth="1"/>
    <col min="9992" max="10241" width="9.33203125" style="996"/>
    <col min="10242" max="10242" width="34.83203125" style="996" customWidth="1"/>
    <col min="10243" max="10246" width="16.5" style="996" customWidth="1"/>
    <col min="10247" max="10247" width="13.83203125" style="996" customWidth="1"/>
    <col min="10248" max="10497" width="9.33203125" style="996"/>
    <col min="10498" max="10498" width="34.83203125" style="996" customWidth="1"/>
    <col min="10499" max="10502" width="16.5" style="996" customWidth="1"/>
    <col min="10503" max="10503" width="13.83203125" style="996" customWidth="1"/>
    <col min="10504" max="10753" width="9.33203125" style="996"/>
    <col min="10754" max="10754" width="34.83203125" style="996" customWidth="1"/>
    <col min="10755" max="10758" width="16.5" style="996" customWidth="1"/>
    <col min="10759" max="10759" width="13.83203125" style="996" customWidth="1"/>
    <col min="10760" max="11009" width="9.33203125" style="996"/>
    <col min="11010" max="11010" width="34.83203125" style="996" customWidth="1"/>
    <col min="11011" max="11014" width="16.5" style="996" customWidth="1"/>
    <col min="11015" max="11015" width="13.83203125" style="996" customWidth="1"/>
    <col min="11016" max="11265" width="9.33203125" style="996"/>
    <col min="11266" max="11266" width="34.83203125" style="996" customWidth="1"/>
    <col min="11267" max="11270" width="16.5" style="996" customWidth="1"/>
    <col min="11271" max="11271" width="13.83203125" style="996" customWidth="1"/>
    <col min="11272" max="11521" width="9.33203125" style="996"/>
    <col min="11522" max="11522" width="34.83203125" style="996" customWidth="1"/>
    <col min="11523" max="11526" width="16.5" style="996" customWidth="1"/>
    <col min="11527" max="11527" width="13.83203125" style="996" customWidth="1"/>
    <col min="11528" max="11777" width="9.33203125" style="996"/>
    <col min="11778" max="11778" width="34.83203125" style="996" customWidth="1"/>
    <col min="11779" max="11782" width="16.5" style="996" customWidth="1"/>
    <col min="11783" max="11783" width="13.83203125" style="996" customWidth="1"/>
    <col min="11784" max="12033" width="9.33203125" style="996"/>
    <col min="12034" max="12034" width="34.83203125" style="996" customWidth="1"/>
    <col min="12035" max="12038" width="16.5" style="996" customWidth="1"/>
    <col min="12039" max="12039" width="13.83203125" style="996" customWidth="1"/>
    <col min="12040" max="12289" width="9.33203125" style="996"/>
    <col min="12290" max="12290" width="34.83203125" style="996" customWidth="1"/>
    <col min="12291" max="12294" width="16.5" style="996" customWidth="1"/>
    <col min="12295" max="12295" width="13.83203125" style="996" customWidth="1"/>
    <col min="12296" max="12545" width="9.33203125" style="996"/>
    <col min="12546" max="12546" width="34.83203125" style="996" customWidth="1"/>
    <col min="12547" max="12550" width="16.5" style="996" customWidth="1"/>
    <col min="12551" max="12551" width="13.83203125" style="996" customWidth="1"/>
    <col min="12552" max="12801" width="9.33203125" style="996"/>
    <col min="12802" max="12802" width="34.83203125" style="996" customWidth="1"/>
    <col min="12803" max="12806" width="16.5" style="996" customWidth="1"/>
    <col min="12807" max="12807" width="13.83203125" style="996" customWidth="1"/>
    <col min="12808" max="13057" width="9.33203125" style="996"/>
    <col min="13058" max="13058" width="34.83203125" style="996" customWidth="1"/>
    <col min="13059" max="13062" width="16.5" style="996" customWidth="1"/>
    <col min="13063" max="13063" width="13.83203125" style="996" customWidth="1"/>
    <col min="13064" max="13313" width="9.33203125" style="996"/>
    <col min="13314" max="13314" width="34.83203125" style="996" customWidth="1"/>
    <col min="13315" max="13318" width="16.5" style="996" customWidth="1"/>
    <col min="13319" max="13319" width="13.83203125" style="996" customWidth="1"/>
    <col min="13320" max="13569" width="9.33203125" style="996"/>
    <col min="13570" max="13570" width="34.83203125" style="996" customWidth="1"/>
    <col min="13571" max="13574" width="16.5" style="996" customWidth="1"/>
    <col min="13575" max="13575" width="13.83203125" style="996" customWidth="1"/>
    <col min="13576" max="13825" width="9.33203125" style="996"/>
    <col min="13826" max="13826" width="34.83203125" style="996" customWidth="1"/>
    <col min="13827" max="13830" width="16.5" style="996" customWidth="1"/>
    <col min="13831" max="13831" width="13.83203125" style="996" customWidth="1"/>
    <col min="13832" max="14081" width="9.33203125" style="996"/>
    <col min="14082" max="14082" width="34.83203125" style="996" customWidth="1"/>
    <col min="14083" max="14086" width="16.5" style="996" customWidth="1"/>
    <col min="14087" max="14087" width="13.83203125" style="996" customWidth="1"/>
    <col min="14088" max="14337" width="9.33203125" style="996"/>
    <col min="14338" max="14338" width="34.83203125" style="996" customWidth="1"/>
    <col min="14339" max="14342" width="16.5" style="996" customWidth="1"/>
    <col min="14343" max="14343" width="13.83203125" style="996" customWidth="1"/>
    <col min="14344" max="14593" width="9.33203125" style="996"/>
    <col min="14594" max="14594" width="34.83203125" style="996" customWidth="1"/>
    <col min="14595" max="14598" width="16.5" style="996" customWidth="1"/>
    <col min="14599" max="14599" width="13.83203125" style="996" customWidth="1"/>
    <col min="14600" max="14849" width="9.33203125" style="996"/>
    <col min="14850" max="14850" width="34.83203125" style="996" customWidth="1"/>
    <col min="14851" max="14854" width="16.5" style="996" customWidth="1"/>
    <col min="14855" max="14855" width="13.83203125" style="996" customWidth="1"/>
    <col min="14856" max="15105" width="9.33203125" style="996"/>
    <col min="15106" max="15106" width="34.83203125" style="996" customWidth="1"/>
    <col min="15107" max="15110" width="16.5" style="996" customWidth="1"/>
    <col min="15111" max="15111" width="13.83203125" style="996" customWidth="1"/>
    <col min="15112" max="15361" width="9.33203125" style="996"/>
    <col min="15362" max="15362" width="34.83203125" style="996" customWidth="1"/>
    <col min="15363" max="15366" width="16.5" style="996" customWidth="1"/>
    <col min="15367" max="15367" width="13.83203125" style="996" customWidth="1"/>
    <col min="15368" max="15617" width="9.33203125" style="996"/>
    <col min="15618" max="15618" width="34.83203125" style="996" customWidth="1"/>
    <col min="15619" max="15622" width="16.5" style="996" customWidth="1"/>
    <col min="15623" max="15623" width="13.83203125" style="996" customWidth="1"/>
    <col min="15624" max="15873" width="9.33203125" style="996"/>
    <col min="15874" max="15874" width="34.83203125" style="996" customWidth="1"/>
    <col min="15875" max="15878" width="16.5" style="996" customWidth="1"/>
    <col min="15879" max="15879" width="13.83203125" style="996" customWidth="1"/>
    <col min="15880" max="16129" width="9.33203125" style="996"/>
    <col min="16130" max="16130" width="34.83203125" style="996" customWidth="1"/>
    <col min="16131" max="16134" width="16.5" style="996" customWidth="1"/>
    <col min="16135" max="16135" width="13.83203125" style="996" customWidth="1"/>
    <col min="16136" max="16384" width="9.33203125" style="996"/>
  </cols>
  <sheetData>
    <row r="1" spans="1:11" ht="39.75" customHeight="1" x14ac:dyDescent="0.2">
      <c r="A1" s="1160" t="s">
        <v>734</v>
      </c>
      <c r="B1" s="1160"/>
      <c r="C1" s="1160"/>
      <c r="D1" s="1160"/>
      <c r="E1" s="1160"/>
      <c r="F1" s="1160"/>
      <c r="G1" s="133"/>
    </row>
    <row r="2" spans="1:11" ht="16.5" customHeight="1" x14ac:dyDescent="0.25">
      <c r="A2" s="135"/>
      <c r="B2" s="1161"/>
      <c r="C2" s="1161"/>
      <c r="D2" s="136"/>
      <c r="E2" s="136"/>
      <c r="F2" s="136"/>
      <c r="G2" s="136"/>
    </row>
    <row r="3" spans="1:11" ht="15.75" customHeight="1" x14ac:dyDescent="0.25">
      <c r="A3" s="137" t="s">
        <v>380</v>
      </c>
      <c r="B3" s="996" t="s">
        <v>873</v>
      </c>
      <c r="G3" s="138"/>
      <c r="H3" s="139"/>
      <c r="I3" s="139"/>
      <c r="J3" s="139"/>
      <c r="K3" s="139"/>
    </row>
    <row r="4" spans="1:11" ht="15" customHeight="1" x14ac:dyDescent="0.2">
      <c r="A4" s="137" t="s">
        <v>381</v>
      </c>
      <c r="B4" s="1159" t="s">
        <v>874</v>
      </c>
      <c r="C4" s="1159"/>
      <c r="D4" s="1159"/>
      <c r="E4" s="1159"/>
      <c r="F4" s="1159"/>
      <c r="G4" s="140"/>
      <c r="H4" s="139"/>
      <c r="I4" s="139"/>
      <c r="J4" s="139"/>
      <c r="K4" s="139"/>
    </row>
    <row r="5" spans="1:11" ht="15.75" x14ac:dyDescent="0.2">
      <c r="A5" s="137" t="s">
        <v>536</v>
      </c>
      <c r="B5" s="1156">
        <v>102118337</v>
      </c>
      <c r="C5" s="1156"/>
      <c r="D5" s="455"/>
      <c r="E5" s="1036"/>
      <c r="F5" s="1081"/>
      <c r="G5" s="141"/>
      <c r="H5" s="139"/>
      <c r="I5" s="139"/>
      <c r="J5" s="139"/>
      <c r="K5" s="139"/>
    </row>
    <row r="6" spans="1:11" ht="15.75" customHeight="1" x14ac:dyDescent="0.2">
      <c r="A6" s="137" t="s">
        <v>535</v>
      </c>
      <c r="B6" s="1156"/>
      <c r="C6" s="1156"/>
      <c r="D6" s="1156"/>
      <c r="E6" s="183">
        <f>B5-E7</f>
        <v>102118337</v>
      </c>
      <c r="F6" s="1081" t="s">
        <v>357</v>
      </c>
      <c r="G6" s="141"/>
      <c r="H6" s="139"/>
      <c r="I6" s="139"/>
      <c r="J6" s="139"/>
      <c r="K6" s="139"/>
    </row>
    <row r="7" spans="1:11" ht="15.75" x14ac:dyDescent="0.2">
      <c r="A7" s="137"/>
      <c r="B7" s="1156"/>
      <c r="C7" s="1156"/>
      <c r="D7" s="1156"/>
      <c r="E7" s="183"/>
      <c r="F7" s="1081" t="s">
        <v>357</v>
      </c>
      <c r="G7" s="141"/>
      <c r="H7" s="139"/>
      <c r="I7" s="139"/>
      <c r="J7" s="139"/>
      <c r="K7" s="139"/>
    </row>
    <row r="8" spans="1:11" ht="15.75" x14ac:dyDescent="0.2">
      <c r="A8" s="137" t="s">
        <v>382</v>
      </c>
      <c r="B8" s="1155">
        <v>0.95</v>
      </c>
      <c r="C8" s="1155"/>
      <c r="D8" s="1038"/>
      <c r="E8" s="1038"/>
      <c r="F8" s="1081"/>
      <c r="G8" s="142"/>
      <c r="H8" s="139"/>
      <c r="I8" s="139"/>
      <c r="J8" s="139"/>
      <c r="K8" s="139"/>
    </row>
    <row r="9" spans="1:11" ht="15.75" x14ac:dyDescent="0.2">
      <c r="A9" s="137" t="s">
        <v>383</v>
      </c>
      <c r="B9" s="1157" t="s">
        <v>503</v>
      </c>
      <c r="C9" s="1158"/>
      <c r="D9" s="1037"/>
      <c r="E9" s="1037"/>
      <c r="F9" s="1081"/>
      <c r="G9" s="141"/>
      <c r="H9" s="139"/>
      <c r="I9" s="139"/>
      <c r="J9" s="139"/>
      <c r="K9" s="139"/>
    </row>
    <row r="10" spans="1:11" ht="15.75" x14ac:dyDescent="0.2">
      <c r="A10" s="137" t="s">
        <v>384</v>
      </c>
      <c r="B10" s="1157" t="s">
        <v>504</v>
      </c>
      <c r="C10" s="1158"/>
      <c r="D10" s="1037"/>
      <c r="E10" s="1037"/>
      <c r="F10" s="1081"/>
      <c r="G10" s="141"/>
      <c r="H10" s="139"/>
      <c r="I10" s="139"/>
      <c r="J10" s="139"/>
      <c r="K10" s="139"/>
    </row>
    <row r="11" spans="1:11" x14ac:dyDescent="0.2">
      <c r="A11" s="143"/>
      <c r="B11" s="144"/>
      <c r="C11" s="144"/>
      <c r="D11" s="144"/>
      <c r="E11" s="144"/>
      <c r="F11" s="145" t="s">
        <v>371</v>
      </c>
      <c r="G11" s="141"/>
      <c r="H11" s="139"/>
      <c r="I11" s="139"/>
      <c r="J11" s="139"/>
      <c r="K11" s="139"/>
    </row>
    <row r="12" spans="1:11" ht="38.25" x14ac:dyDescent="0.2">
      <c r="A12" s="146" t="s">
        <v>262</v>
      </c>
      <c r="B12" s="147" t="s">
        <v>385</v>
      </c>
      <c r="C12" s="148" t="s">
        <v>386</v>
      </c>
      <c r="D12" s="148" t="s">
        <v>532</v>
      </c>
      <c r="E12" s="148" t="s">
        <v>723</v>
      </c>
      <c r="F12" s="149" t="s">
        <v>366</v>
      </c>
      <c r="G12" s="141"/>
      <c r="H12" s="139"/>
      <c r="I12" s="139"/>
      <c r="J12" s="139"/>
      <c r="K12" s="139"/>
    </row>
    <row r="13" spans="1:11" x14ac:dyDescent="0.2">
      <c r="A13" s="150" t="s">
        <v>387</v>
      </c>
      <c r="B13" s="1082"/>
      <c r="C13" s="1083">
        <f>SUM(C15:C20)</f>
        <v>97255559</v>
      </c>
      <c r="D13" s="1083"/>
      <c r="E13" s="1083"/>
      <c r="F13" s="1084">
        <f>SUM(B13:C13)+F17</f>
        <v>102118337</v>
      </c>
      <c r="G13" s="141"/>
      <c r="H13" s="139"/>
      <c r="I13" s="139"/>
      <c r="J13" s="139"/>
      <c r="K13" s="139"/>
    </row>
    <row r="14" spans="1:11" x14ac:dyDescent="0.2">
      <c r="A14" s="151" t="s">
        <v>388</v>
      </c>
      <c r="B14" s="152"/>
      <c r="C14" s="152"/>
      <c r="D14" s="152"/>
      <c r="E14" s="152"/>
      <c r="F14" s="153">
        <f>SUM(B14:E14)</f>
        <v>0</v>
      </c>
      <c r="G14" s="141"/>
      <c r="H14" s="139"/>
      <c r="I14" s="139"/>
      <c r="J14" s="139"/>
      <c r="K14" s="139"/>
    </row>
    <row r="15" spans="1:11" x14ac:dyDescent="0.2">
      <c r="A15" s="154" t="s">
        <v>377</v>
      </c>
      <c r="B15" s="155"/>
      <c r="C15" s="155">
        <v>97255559</v>
      </c>
      <c r="D15" s="156"/>
      <c r="E15" s="156"/>
      <c r="F15" s="157">
        <f t="shared" ref="F15:F20" si="0">SUM(B15:E15)</f>
        <v>97255559</v>
      </c>
      <c r="G15" s="158"/>
      <c r="H15" s="139"/>
      <c r="I15" s="139"/>
      <c r="J15" s="139"/>
      <c r="K15" s="139"/>
    </row>
    <row r="16" spans="1:11" ht="15" customHeight="1" x14ac:dyDescent="0.2">
      <c r="A16" s="159" t="s">
        <v>389</v>
      </c>
      <c r="B16" s="160"/>
      <c r="C16" s="160"/>
      <c r="D16" s="161"/>
      <c r="E16" s="161"/>
      <c r="F16" s="157">
        <f t="shared" si="0"/>
        <v>0</v>
      </c>
      <c r="G16" s="140"/>
      <c r="H16" s="139"/>
      <c r="I16" s="139"/>
      <c r="J16" s="139"/>
      <c r="K16" s="139"/>
    </row>
    <row r="17" spans="1:11" ht="25.5" x14ac:dyDescent="0.2">
      <c r="A17" s="159" t="s">
        <v>533</v>
      </c>
      <c r="B17" s="160" t="s">
        <v>875</v>
      </c>
      <c r="C17" s="160">
        <v>0</v>
      </c>
      <c r="D17" s="161">
        <v>4862778</v>
      </c>
      <c r="E17" s="161"/>
      <c r="F17" s="157">
        <f t="shared" si="0"/>
        <v>4862778</v>
      </c>
      <c r="G17" s="141"/>
      <c r="H17" s="139"/>
      <c r="I17" s="139"/>
      <c r="J17" s="139"/>
      <c r="K17" s="139"/>
    </row>
    <row r="18" spans="1:11" ht="25.5" x14ac:dyDescent="0.2">
      <c r="A18" s="159" t="s">
        <v>534</v>
      </c>
      <c r="B18" s="160" t="s">
        <v>875</v>
      </c>
      <c r="C18" s="160"/>
      <c r="D18" s="161"/>
      <c r="E18" s="161"/>
      <c r="F18" s="157">
        <f t="shared" si="0"/>
        <v>0</v>
      </c>
      <c r="G18" s="141"/>
      <c r="H18" s="139"/>
      <c r="I18" s="139"/>
      <c r="J18" s="139"/>
      <c r="K18" s="139"/>
    </row>
    <row r="19" spans="1:11" x14ac:dyDescent="0.2">
      <c r="A19" s="159" t="s">
        <v>390</v>
      </c>
      <c r="B19" s="160"/>
      <c r="C19" s="160"/>
      <c r="D19" s="161"/>
      <c r="E19" s="161"/>
      <c r="F19" s="157">
        <f t="shared" si="0"/>
        <v>0</v>
      </c>
      <c r="G19" s="141"/>
      <c r="H19" s="139"/>
      <c r="I19" s="139"/>
      <c r="J19" s="139"/>
      <c r="K19" s="139"/>
    </row>
    <row r="20" spans="1:11" x14ac:dyDescent="0.2">
      <c r="A20" s="163" t="s">
        <v>391</v>
      </c>
      <c r="B20" s="164"/>
      <c r="C20" s="164"/>
      <c r="D20" s="165"/>
      <c r="E20" s="165"/>
      <c r="F20" s="157">
        <f t="shared" si="0"/>
        <v>0</v>
      </c>
      <c r="G20" s="141"/>
      <c r="H20" s="139"/>
      <c r="I20" s="139"/>
      <c r="J20" s="139"/>
      <c r="K20" s="139"/>
    </row>
    <row r="21" spans="1:11" x14ac:dyDescent="0.2">
      <c r="A21" s="621"/>
      <c r="B21" s="166"/>
      <c r="C21" s="166"/>
      <c r="D21" s="166"/>
      <c r="E21" s="166"/>
      <c r="F21" s="622"/>
      <c r="G21" s="141"/>
      <c r="H21" s="139"/>
      <c r="I21" s="139"/>
      <c r="J21" s="139"/>
      <c r="K21" s="139"/>
    </row>
    <row r="22" spans="1:11" x14ac:dyDescent="0.2">
      <c r="A22" s="167" t="s">
        <v>392</v>
      </c>
      <c r="B22" s="1085"/>
      <c r="C22" s="1085">
        <f>SUM(C24:C29)</f>
        <v>94955559</v>
      </c>
      <c r="D22" s="1085">
        <f t="shared" ref="D22:E22" si="1">SUM(D24:D29)</f>
        <v>4862778</v>
      </c>
      <c r="E22" s="1085">
        <f t="shared" si="1"/>
        <v>0</v>
      </c>
      <c r="F22" s="1086">
        <f>SUM(F24:F29)</f>
        <v>99818337</v>
      </c>
      <c r="G22" s="141"/>
      <c r="H22" s="139"/>
      <c r="I22" s="139"/>
      <c r="J22" s="139"/>
      <c r="K22" s="139"/>
    </row>
    <row r="23" spans="1:11" x14ac:dyDescent="0.2">
      <c r="A23" s="151" t="s">
        <v>388</v>
      </c>
      <c r="B23" s="152"/>
      <c r="C23" s="152"/>
      <c r="D23" s="152"/>
      <c r="E23" s="152"/>
      <c r="F23" s="153">
        <f t="shared" ref="F23:F29" si="2">SUM(B23:E23)</f>
        <v>0</v>
      </c>
      <c r="G23" s="141"/>
      <c r="H23" s="139"/>
      <c r="I23" s="139"/>
      <c r="J23" s="139"/>
      <c r="K23" s="139"/>
    </row>
    <row r="24" spans="1:11" x14ac:dyDescent="0.2">
      <c r="A24" s="159" t="s">
        <v>393</v>
      </c>
      <c r="B24" s="168"/>
      <c r="C24" s="168"/>
      <c r="D24" s="168"/>
      <c r="E24" s="168"/>
      <c r="F24" s="162">
        <f t="shared" si="2"/>
        <v>0</v>
      </c>
      <c r="G24" s="141"/>
      <c r="H24" s="139"/>
      <c r="I24" s="139"/>
      <c r="J24" s="139"/>
      <c r="K24" s="139"/>
    </row>
    <row r="25" spans="1:11" ht="25.5" x14ac:dyDescent="0.2">
      <c r="A25" s="159" t="s">
        <v>201</v>
      </c>
      <c r="B25" s="168"/>
      <c r="C25" s="168"/>
      <c r="D25" s="168"/>
      <c r="E25" s="168"/>
      <c r="F25" s="162">
        <f t="shared" si="2"/>
        <v>0</v>
      </c>
      <c r="G25" s="170"/>
      <c r="H25" s="139"/>
      <c r="I25" s="139"/>
      <c r="J25" s="139"/>
      <c r="K25" s="139"/>
    </row>
    <row r="26" spans="1:11" x14ac:dyDescent="0.2">
      <c r="A26" s="159" t="s">
        <v>394</v>
      </c>
      <c r="B26" s="168"/>
      <c r="C26" s="168">
        <f>7509751-2300000</f>
        <v>5209751</v>
      </c>
      <c r="D26" s="169">
        <v>2300000</v>
      </c>
      <c r="E26" s="169"/>
      <c r="F26" s="162">
        <f t="shared" si="2"/>
        <v>7509751</v>
      </c>
      <c r="G26" s="171"/>
      <c r="H26" s="139"/>
      <c r="I26" s="139"/>
      <c r="J26" s="139"/>
      <c r="K26" s="139"/>
    </row>
    <row r="27" spans="1:11" ht="13.5" x14ac:dyDescent="0.25">
      <c r="A27" s="159" t="s">
        <v>395</v>
      </c>
      <c r="B27" s="168"/>
      <c r="C27" s="168">
        <f>94608586-D17</f>
        <v>89745808</v>
      </c>
      <c r="D27" s="169">
        <f>D17-D26</f>
        <v>2562778</v>
      </c>
      <c r="E27" s="169"/>
      <c r="F27" s="162">
        <f t="shared" si="2"/>
        <v>92308586</v>
      </c>
      <c r="G27" s="138"/>
      <c r="H27" s="139"/>
      <c r="I27" s="139"/>
      <c r="J27" s="139"/>
      <c r="K27" s="139"/>
    </row>
    <row r="28" spans="1:11" x14ac:dyDescent="0.2">
      <c r="A28" s="159" t="s">
        <v>396</v>
      </c>
      <c r="B28" s="168"/>
      <c r="C28" s="168"/>
      <c r="D28" s="169"/>
      <c r="E28" s="169"/>
      <c r="F28" s="162">
        <f t="shared" si="2"/>
        <v>0</v>
      </c>
      <c r="G28" s="140"/>
      <c r="H28" s="139"/>
      <c r="I28" s="139"/>
      <c r="J28" s="139"/>
      <c r="K28" s="139"/>
    </row>
    <row r="29" spans="1:11" x14ac:dyDescent="0.2">
      <c r="A29" s="163" t="s">
        <v>230</v>
      </c>
      <c r="B29" s="172"/>
      <c r="C29" s="172"/>
      <c r="D29" s="173"/>
      <c r="E29" s="173"/>
      <c r="F29" s="162">
        <f t="shared" si="2"/>
        <v>0</v>
      </c>
      <c r="G29" s="141"/>
      <c r="H29" s="139"/>
      <c r="I29" s="139"/>
      <c r="J29" s="139"/>
      <c r="K29" s="139"/>
    </row>
    <row r="30" spans="1:11" ht="27" x14ac:dyDescent="0.2">
      <c r="A30" s="456" t="s">
        <v>397</v>
      </c>
      <c r="B30" s="174">
        <f>SUM(B15:B17)</f>
        <v>0</v>
      </c>
      <c r="C30" s="174">
        <f>SUM(C15:C17)</f>
        <v>97255559</v>
      </c>
      <c r="D30" s="174">
        <f t="shared" ref="D30:E30" si="3">SUM(D15:D17)</f>
        <v>4862778</v>
      </c>
      <c r="E30" s="174">
        <f t="shared" si="3"/>
        <v>0</v>
      </c>
      <c r="F30" s="623">
        <f>SUM(F15:F17)</f>
        <v>102118337</v>
      </c>
      <c r="G30" s="142"/>
      <c r="H30" s="139"/>
      <c r="I30" s="139"/>
      <c r="J30" s="139"/>
      <c r="K30" s="139"/>
    </row>
    <row r="31" spans="1:11" ht="27" x14ac:dyDescent="0.2">
      <c r="A31" s="456" t="s">
        <v>398</v>
      </c>
      <c r="B31" s="174">
        <f>SUM(B18)</f>
        <v>0</v>
      </c>
      <c r="C31" s="174">
        <f>SUM(C18)</f>
        <v>0</v>
      </c>
      <c r="D31" s="175"/>
      <c r="E31" s="175"/>
      <c r="F31" s="176">
        <f>SUM(B31:C31)</f>
        <v>0</v>
      </c>
      <c r="G31" s="141"/>
      <c r="H31" s="139"/>
      <c r="I31" s="139"/>
      <c r="J31" s="139"/>
      <c r="K31" s="139"/>
    </row>
    <row r="32" spans="1:11" ht="15" x14ac:dyDescent="0.2">
      <c r="A32" s="177"/>
      <c r="B32" s="178"/>
      <c r="C32" s="178"/>
      <c r="D32" s="178"/>
      <c r="E32" s="178"/>
      <c r="F32" s="1087"/>
      <c r="G32" s="141"/>
      <c r="H32" s="139"/>
      <c r="I32" s="139"/>
      <c r="J32" s="139"/>
      <c r="K32" s="139"/>
    </row>
    <row r="33" spans="1:11" x14ac:dyDescent="0.2">
      <c r="A33" s="137"/>
      <c r="B33" s="1156"/>
      <c r="C33" s="1156"/>
      <c r="D33" s="1156"/>
      <c r="E33" s="1156"/>
      <c r="F33" s="1156"/>
      <c r="G33" s="141"/>
      <c r="H33" s="139"/>
      <c r="I33" s="139"/>
      <c r="J33" s="139"/>
      <c r="K33" s="139"/>
    </row>
    <row r="34" spans="1:11" x14ac:dyDescent="0.2">
      <c r="A34" s="137" t="s">
        <v>380</v>
      </c>
      <c r="B34" s="996" t="s">
        <v>876</v>
      </c>
      <c r="G34" s="141"/>
      <c r="H34" s="139"/>
      <c r="I34" s="139"/>
      <c r="J34" s="139"/>
      <c r="K34" s="139"/>
    </row>
    <row r="35" spans="1:11" x14ac:dyDescent="0.2">
      <c r="A35" s="137" t="s">
        <v>381</v>
      </c>
      <c r="B35" s="1159" t="s">
        <v>877</v>
      </c>
      <c r="C35" s="1159"/>
      <c r="D35" s="1159"/>
      <c r="E35" s="1159"/>
      <c r="F35" s="1159"/>
      <c r="G35" s="141"/>
      <c r="H35" s="139"/>
      <c r="I35" s="139"/>
      <c r="J35" s="139"/>
      <c r="K35" s="139"/>
    </row>
    <row r="36" spans="1:11" ht="15.75" x14ac:dyDescent="0.2">
      <c r="A36" s="137" t="s">
        <v>536</v>
      </c>
      <c r="B36" s="1156">
        <v>15322486</v>
      </c>
      <c r="C36" s="1156"/>
      <c r="D36" s="455"/>
      <c r="E36" s="1036"/>
      <c r="F36" s="1081"/>
      <c r="G36" s="141"/>
      <c r="H36" s="139"/>
      <c r="I36" s="139"/>
      <c r="J36" s="139"/>
      <c r="K36" s="139"/>
    </row>
    <row r="37" spans="1:11" ht="15.75" x14ac:dyDescent="0.2">
      <c r="A37" s="137" t="s">
        <v>535</v>
      </c>
      <c r="B37" s="1156"/>
      <c r="C37" s="1156"/>
      <c r="D37" s="1156"/>
      <c r="E37" s="183">
        <f>B36-E38</f>
        <v>15322486</v>
      </c>
      <c r="F37" s="1081" t="s">
        <v>357</v>
      </c>
      <c r="G37" s="158"/>
      <c r="H37" s="139"/>
      <c r="I37" s="139"/>
      <c r="J37" s="139"/>
      <c r="K37" s="139"/>
    </row>
    <row r="38" spans="1:11" ht="15.75" x14ac:dyDescent="0.2">
      <c r="A38" s="137"/>
      <c r="B38" s="1156"/>
      <c r="C38" s="1156"/>
      <c r="D38" s="1156"/>
      <c r="E38" s="183"/>
      <c r="F38" s="1081" t="s">
        <v>357</v>
      </c>
      <c r="G38" s="140"/>
      <c r="H38" s="139"/>
      <c r="I38" s="139"/>
      <c r="J38" s="139"/>
      <c r="K38" s="139"/>
    </row>
    <row r="39" spans="1:11" ht="15.75" x14ac:dyDescent="0.2">
      <c r="A39" s="137" t="s">
        <v>382</v>
      </c>
      <c r="B39" s="1155">
        <v>1</v>
      </c>
      <c r="C39" s="1155"/>
      <c r="D39" s="1038"/>
      <c r="E39" s="1038"/>
      <c r="F39" s="1081"/>
      <c r="G39" s="141"/>
      <c r="H39" s="139"/>
      <c r="I39" s="139"/>
      <c r="J39" s="139"/>
      <c r="K39" s="139"/>
    </row>
    <row r="40" spans="1:11" ht="15.75" x14ac:dyDescent="0.2">
      <c r="A40" s="137" t="s">
        <v>383</v>
      </c>
      <c r="B40" s="1157" t="s">
        <v>502</v>
      </c>
      <c r="C40" s="1158"/>
      <c r="D40" s="1037"/>
      <c r="E40" s="1037"/>
      <c r="F40" s="1081"/>
      <c r="G40" s="141"/>
      <c r="H40" s="139"/>
      <c r="I40" s="139"/>
      <c r="J40" s="139"/>
      <c r="K40" s="139"/>
    </row>
    <row r="41" spans="1:11" ht="15.75" x14ac:dyDescent="0.2">
      <c r="A41" s="137" t="s">
        <v>384</v>
      </c>
      <c r="B41" s="1157" t="s">
        <v>503</v>
      </c>
      <c r="C41" s="1158"/>
      <c r="D41" s="1037"/>
      <c r="E41" s="1037"/>
      <c r="F41" s="1081"/>
      <c r="G41" s="141"/>
      <c r="H41" s="139"/>
      <c r="I41" s="139"/>
      <c r="J41" s="139"/>
      <c r="K41" s="139"/>
    </row>
    <row r="42" spans="1:11" x14ac:dyDescent="0.2">
      <c r="A42" s="143"/>
      <c r="B42" s="144"/>
      <c r="C42" s="144"/>
      <c r="D42" s="144"/>
      <c r="E42" s="144"/>
      <c r="F42" s="145" t="s">
        <v>371</v>
      </c>
      <c r="G42" s="141"/>
      <c r="H42" s="139"/>
      <c r="I42" s="139"/>
      <c r="J42" s="139"/>
      <c r="K42" s="139"/>
    </row>
    <row r="43" spans="1:11" ht="38.25" x14ac:dyDescent="0.2">
      <c r="A43" s="146" t="s">
        <v>262</v>
      </c>
      <c r="B43" s="147" t="s">
        <v>385</v>
      </c>
      <c r="C43" s="148" t="s">
        <v>386</v>
      </c>
      <c r="D43" s="148" t="s">
        <v>532</v>
      </c>
      <c r="E43" s="148" t="s">
        <v>723</v>
      </c>
      <c r="F43" s="149" t="s">
        <v>366</v>
      </c>
      <c r="G43" s="141"/>
      <c r="H43" s="139"/>
      <c r="I43" s="139"/>
      <c r="J43" s="139"/>
      <c r="K43" s="139"/>
    </row>
    <row r="44" spans="1:11" x14ac:dyDescent="0.2">
      <c r="A44" s="150" t="s">
        <v>387</v>
      </c>
      <c r="B44" s="1082"/>
      <c r="C44" s="1083">
        <f>SUM(C46:C51)</f>
        <v>15322486</v>
      </c>
      <c r="D44" s="1083"/>
      <c r="E44" s="1083"/>
      <c r="F44" s="1084">
        <f>SUM(B44:C44)</f>
        <v>15322486</v>
      </c>
      <c r="G44" s="141"/>
      <c r="H44" s="139"/>
      <c r="I44" s="139"/>
      <c r="J44" s="139"/>
      <c r="K44" s="139"/>
    </row>
    <row r="45" spans="1:11" x14ac:dyDescent="0.2">
      <c r="A45" s="151" t="s">
        <v>388</v>
      </c>
      <c r="B45" s="152"/>
      <c r="C45" s="152"/>
      <c r="D45" s="152"/>
      <c r="E45" s="152"/>
      <c r="F45" s="153">
        <f>SUM(B45:E45)</f>
        <v>0</v>
      </c>
      <c r="G45" s="141"/>
      <c r="H45" s="139"/>
      <c r="I45" s="139"/>
      <c r="J45" s="139"/>
      <c r="K45" s="139"/>
    </row>
    <row r="46" spans="1:11" x14ac:dyDescent="0.2">
      <c r="A46" s="154" t="s">
        <v>377</v>
      </c>
      <c r="B46" s="155"/>
      <c r="C46" s="155">
        <v>508000</v>
      </c>
      <c r="D46" s="156"/>
      <c r="E46" s="156"/>
      <c r="F46" s="157">
        <f t="shared" ref="F46:F51" si="4">SUM(B46:E46)</f>
        <v>508000</v>
      </c>
      <c r="G46" s="141"/>
      <c r="H46" s="139"/>
      <c r="I46" s="139"/>
      <c r="J46" s="139"/>
      <c r="K46" s="139"/>
    </row>
    <row r="47" spans="1:11" x14ac:dyDescent="0.2">
      <c r="A47" s="159" t="s">
        <v>389</v>
      </c>
      <c r="B47" s="160"/>
      <c r="C47" s="160">
        <v>14814486</v>
      </c>
      <c r="D47" s="161"/>
      <c r="E47" s="161"/>
      <c r="F47" s="157">
        <f t="shared" si="4"/>
        <v>14814486</v>
      </c>
      <c r="G47" s="170"/>
      <c r="H47" s="139"/>
      <c r="I47" s="139"/>
      <c r="J47" s="139"/>
      <c r="K47" s="139"/>
    </row>
    <row r="48" spans="1:11" ht="25.5" x14ac:dyDescent="0.2">
      <c r="A48" s="159" t="s">
        <v>533</v>
      </c>
      <c r="B48" s="160" t="s">
        <v>875</v>
      </c>
      <c r="C48" s="160"/>
      <c r="D48" s="161"/>
      <c r="E48" s="161"/>
      <c r="F48" s="157">
        <f t="shared" si="4"/>
        <v>0</v>
      </c>
      <c r="G48" s="179"/>
      <c r="H48" s="139"/>
      <c r="I48" s="139"/>
      <c r="J48" s="139"/>
      <c r="K48" s="139"/>
    </row>
    <row r="49" spans="1:11" ht="25.5" x14ac:dyDescent="0.2">
      <c r="A49" s="159" t="s">
        <v>534</v>
      </c>
      <c r="B49" s="160" t="s">
        <v>875</v>
      </c>
      <c r="C49" s="160"/>
      <c r="D49" s="161"/>
      <c r="E49" s="161"/>
      <c r="F49" s="157">
        <f t="shared" si="4"/>
        <v>0</v>
      </c>
      <c r="G49" s="170"/>
      <c r="H49" s="139"/>
      <c r="I49" s="139"/>
      <c r="J49" s="139"/>
      <c r="K49" s="139"/>
    </row>
    <row r="50" spans="1:11" x14ac:dyDescent="0.2">
      <c r="A50" s="159" t="s">
        <v>390</v>
      </c>
      <c r="B50" s="160"/>
      <c r="C50" s="160"/>
      <c r="D50" s="161"/>
      <c r="E50" s="161"/>
      <c r="F50" s="157">
        <f t="shared" si="4"/>
        <v>0</v>
      </c>
      <c r="G50" s="180"/>
      <c r="H50" s="139"/>
      <c r="I50" s="139"/>
      <c r="J50" s="181"/>
      <c r="K50" s="139"/>
    </row>
    <row r="51" spans="1:11" x14ac:dyDescent="0.2">
      <c r="A51" s="163" t="s">
        <v>391</v>
      </c>
      <c r="B51" s="164"/>
      <c r="C51" s="164"/>
      <c r="D51" s="165"/>
      <c r="E51" s="165"/>
      <c r="F51" s="157">
        <f t="shared" si="4"/>
        <v>0</v>
      </c>
      <c r="G51" s="182"/>
      <c r="H51" s="139"/>
      <c r="I51" s="139"/>
      <c r="J51" s="139"/>
      <c r="K51" s="139"/>
    </row>
    <row r="52" spans="1:11" x14ac:dyDescent="0.2">
      <c r="A52" s="621"/>
      <c r="B52" s="166"/>
      <c r="C52" s="166"/>
      <c r="D52" s="166"/>
      <c r="E52" s="166"/>
      <c r="F52" s="622"/>
      <c r="G52" s="182"/>
      <c r="H52" s="139"/>
      <c r="I52" s="139"/>
      <c r="J52" s="139"/>
      <c r="K52" s="139"/>
    </row>
    <row r="53" spans="1:11" x14ac:dyDescent="0.2">
      <c r="A53" s="167" t="s">
        <v>392</v>
      </c>
      <c r="B53" s="1085"/>
      <c r="C53" s="1085">
        <f>SUM(C55:C60)</f>
        <v>15322486</v>
      </c>
      <c r="D53" s="1085">
        <f t="shared" ref="D53:E53" si="5">SUM(D55:D60)</f>
        <v>0</v>
      </c>
      <c r="E53" s="1085">
        <f t="shared" si="5"/>
        <v>0</v>
      </c>
      <c r="F53" s="1086">
        <f>SUM(F55:F60)</f>
        <v>15322486</v>
      </c>
      <c r="G53" s="184"/>
      <c r="H53" s="139"/>
      <c r="I53" s="139"/>
      <c r="J53" s="139"/>
      <c r="K53" s="139"/>
    </row>
    <row r="54" spans="1:11" x14ac:dyDescent="0.2">
      <c r="A54" s="151" t="s">
        <v>388</v>
      </c>
      <c r="B54" s="152"/>
      <c r="C54" s="152"/>
      <c r="D54" s="152"/>
      <c r="E54" s="152"/>
      <c r="F54" s="153">
        <f t="shared" ref="F54:F60" si="6">SUM(B54:E54)</f>
        <v>0</v>
      </c>
      <c r="G54" s="139"/>
      <c r="H54" s="139"/>
      <c r="I54" s="139"/>
      <c r="J54" s="139"/>
      <c r="K54" s="139"/>
    </row>
    <row r="55" spans="1:11" x14ac:dyDescent="0.2">
      <c r="A55" s="159" t="s">
        <v>393</v>
      </c>
      <c r="B55" s="168"/>
      <c r="C55" s="168"/>
      <c r="D55" s="168"/>
      <c r="E55" s="168"/>
      <c r="F55" s="162">
        <f t="shared" si="6"/>
        <v>0</v>
      </c>
    </row>
    <row r="56" spans="1:11" ht="25.5" x14ac:dyDescent="0.2">
      <c r="A56" s="159" t="s">
        <v>201</v>
      </c>
      <c r="B56" s="168"/>
      <c r="C56" s="168"/>
      <c r="D56" s="168"/>
      <c r="E56" s="168"/>
      <c r="F56" s="162">
        <f t="shared" si="6"/>
        <v>0</v>
      </c>
    </row>
    <row r="57" spans="1:11" x14ac:dyDescent="0.2">
      <c r="A57" s="159" t="s">
        <v>394</v>
      </c>
      <c r="B57" s="168"/>
      <c r="C57" s="168">
        <v>1746250</v>
      </c>
      <c r="D57" s="169"/>
      <c r="E57" s="169"/>
      <c r="F57" s="162">
        <f t="shared" si="6"/>
        <v>1746250</v>
      </c>
    </row>
    <row r="58" spans="1:11" x14ac:dyDescent="0.2">
      <c r="A58" s="159" t="s">
        <v>395</v>
      </c>
      <c r="B58" s="168"/>
      <c r="C58" s="168">
        <v>2980842</v>
      </c>
      <c r="D58" s="169"/>
      <c r="E58" s="169"/>
      <c r="F58" s="162">
        <f t="shared" si="6"/>
        <v>2980842</v>
      </c>
    </row>
    <row r="59" spans="1:11" x14ac:dyDescent="0.2">
      <c r="A59" s="159" t="s">
        <v>396</v>
      </c>
      <c r="B59" s="168"/>
      <c r="C59" s="168">
        <f>10087394+C46</f>
        <v>10595394</v>
      </c>
      <c r="D59" s="169"/>
      <c r="E59" s="169"/>
      <c r="F59" s="162">
        <f t="shared" si="6"/>
        <v>10595394</v>
      </c>
    </row>
    <row r="60" spans="1:11" x14ac:dyDescent="0.2">
      <c r="A60" s="163" t="s">
        <v>230</v>
      </c>
      <c r="B60" s="172"/>
      <c r="C60" s="172"/>
      <c r="D60" s="173"/>
      <c r="E60" s="173"/>
      <c r="F60" s="162">
        <f t="shared" si="6"/>
        <v>0</v>
      </c>
    </row>
    <row r="61" spans="1:11" ht="27" x14ac:dyDescent="0.2">
      <c r="A61" s="456" t="s">
        <v>397</v>
      </c>
      <c r="B61" s="174">
        <f>SUM(B46:B48)</f>
        <v>0</v>
      </c>
      <c r="C61" s="174">
        <f>SUM(C46:C48)</f>
        <v>15322486</v>
      </c>
      <c r="D61" s="174">
        <f t="shared" ref="D61:E61" si="7">SUM(D46:D48)</f>
        <v>0</v>
      </c>
      <c r="E61" s="174">
        <f t="shared" si="7"/>
        <v>0</v>
      </c>
      <c r="F61" s="623">
        <f>SUM(F46:F48)</f>
        <v>15322486</v>
      </c>
    </row>
    <row r="62" spans="1:11" ht="27" x14ac:dyDescent="0.2">
      <c r="A62" s="456" t="s">
        <v>398</v>
      </c>
      <c r="B62" s="174">
        <f>SUM(B49)</f>
        <v>0</v>
      </c>
      <c r="C62" s="174">
        <f>SUM(C49)</f>
        <v>0</v>
      </c>
      <c r="D62" s="175"/>
      <c r="E62" s="175"/>
      <c r="F62" s="176">
        <f>SUM(B62:C62)</f>
        <v>0</v>
      </c>
    </row>
    <row r="63" spans="1:11" ht="15" x14ac:dyDescent="0.2">
      <c r="A63" s="177"/>
      <c r="B63" s="178"/>
      <c r="C63" s="178"/>
      <c r="D63" s="178"/>
      <c r="E63" s="178"/>
      <c r="F63" s="1087"/>
    </row>
    <row r="65" spans="1:6" ht="15" x14ac:dyDescent="0.2">
      <c r="A65" s="177"/>
      <c r="B65" s="178"/>
      <c r="C65" s="178"/>
      <c r="D65" s="178"/>
      <c r="E65" s="178"/>
      <c r="F65" s="1087"/>
    </row>
    <row r="67" spans="1:6" x14ac:dyDescent="0.2">
      <c r="A67" s="137" t="s">
        <v>380</v>
      </c>
      <c r="B67" s="996" t="s">
        <v>878</v>
      </c>
    </row>
    <row r="68" spans="1:6" x14ac:dyDescent="0.2">
      <c r="A68" s="137" t="s">
        <v>381</v>
      </c>
      <c r="B68" s="1159" t="s">
        <v>879</v>
      </c>
      <c r="C68" s="1159"/>
      <c r="D68" s="1159"/>
      <c r="E68" s="1159"/>
      <c r="F68" s="1159"/>
    </row>
    <row r="69" spans="1:6" ht="15.75" x14ac:dyDescent="0.2">
      <c r="A69" s="137" t="s">
        <v>536</v>
      </c>
      <c r="B69" s="1156">
        <v>6000000</v>
      </c>
      <c r="C69" s="1156"/>
      <c r="D69" s="455"/>
      <c r="E69" s="1036"/>
      <c r="F69" s="1081"/>
    </row>
    <row r="70" spans="1:6" ht="15.75" x14ac:dyDescent="0.2">
      <c r="A70" s="137" t="s">
        <v>535</v>
      </c>
      <c r="B70" s="1156"/>
      <c r="C70" s="1156"/>
      <c r="D70" s="1156"/>
      <c r="E70" s="183">
        <f>B69-E71</f>
        <v>6000000</v>
      </c>
      <c r="F70" s="1081" t="s">
        <v>357</v>
      </c>
    </row>
    <row r="71" spans="1:6" ht="15.75" x14ac:dyDescent="0.2">
      <c r="A71" s="137"/>
      <c r="B71" s="1156"/>
      <c r="C71" s="1156"/>
      <c r="D71" s="1156"/>
      <c r="E71" s="183"/>
      <c r="F71" s="1081" t="s">
        <v>357</v>
      </c>
    </row>
    <row r="72" spans="1:6" ht="15.75" x14ac:dyDescent="0.2">
      <c r="A72" s="137" t="s">
        <v>382</v>
      </c>
      <c r="B72" s="1155">
        <v>1</v>
      </c>
      <c r="C72" s="1155"/>
      <c r="D72" s="1038"/>
      <c r="E72" s="1038"/>
      <c r="F72" s="1081"/>
    </row>
    <row r="73" spans="1:6" ht="15.75" x14ac:dyDescent="0.2">
      <c r="A73" s="137" t="s">
        <v>383</v>
      </c>
      <c r="B73" s="1157" t="s">
        <v>502</v>
      </c>
      <c r="C73" s="1158"/>
      <c r="D73" s="1037"/>
      <c r="E73" s="1037"/>
      <c r="F73" s="1081"/>
    </row>
    <row r="74" spans="1:6" ht="15.75" x14ac:dyDescent="0.2">
      <c r="A74" s="137" t="s">
        <v>384</v>
      </c>
      <c r="B74" s="1157" t="s">
        <v>503</v>
      </c>
      <c r="C74" s="1158"/>
      <c r="D74" s="1037"/>
      <c r="E74" s="1037"/>
      <c r="F74" s="1081"/>
    </row>
    <row r="75" spans="1:6" x14ac:dyDescent="0.2">
      <c r="A75" s="143"/>
      <c r="B75" s="144"/>
      <c r="C75" s="144"/>
      <c r="D75" s="144"/>
      <c r="E75" s="144"/>
      <c r="F75" s="145" t="s">
        <v>371</v>
      </c>
    </row>
    <row r="76" spans="1:6" ht="38.25" x14ac:dyDescent="0.2">
      <c r="A76" s="146" t="s">
        <v>262</v>
      </c>
      <c r="B76" s="147" t="s">
        <v>385</v>
      </c>
      <c r="C76" s="148" t="s">
        <v>386</v>
      </c>
      <c r="D76" s="148" t="s">
        <v>532</v>
      </c>
      <c r="E76" s="148" t="s">
        <v>723</v>
      </c>
      <c r="F76" s="149" t="s">
        <v>366</v>
      </c>
    </row>
    <row r="77" spans="1:6" x14ac:dyDescent="0.2">
      <c r="A77" s="150" t="s">
        <v>387</v>
      </c>
      <c r="B77" s="1082">
        <v>6000000</v>
      </c>
      <c r="C77" s="1083">
        <f>SUM(C79:C84)</f>
        <v>0</v>
      </c>
      <c r="D77" s="1083"/>
      <c r="E77" s="1083"/>
      <c r="F77" s="1084">
        <f>SUM(B77:C77)</f>
        <v>6000000</v>
      </c>
    </row>
    <row r="78" spans="1:6" x14ac:dyDescent="0.2">
      <c r="A78" s="151" t="s">
        <v>388</v>
      </c>
      <c r="B78" s="152"/>
      <c r="C78" s="152"/>
      <c r="D78" s="152"/>
      <c r="E78" s="152"/>
      <c r="F78" s="153">
        <f>SUM(B78:E78)</f>
        <v>0</v>
      </c>
    </row>
    <row r="79" spans="1:6" x14ac:dyDescent="0.2">
      <c r="A79" s="154" t="s">
        <v>377</v>
      </c>
      <c r="B79" s="155"/>
      <c r="C79" s="155"/>
      <c r="D79" s="156"/>
      <c r="E79" s="156"/>
      <c r="F79" s="157">
        <f t="shared" ref="F79:F84" si="8">SUM(B79:E79)</f>
        <v>0</v>
      </c>
    </row>
    <row r="80" spans="1:6" x14ac:dyDescent="0.2">
      <c r="A80" s="159" t="s">
        <v>389</v>
      </c>
      <c r="B80" s="160">
        <v>6000000</v>
      </c>
      <c r="C80" s="160"/>
      <c r="D80" s="161"/>
      <c r="E80" s="161"/>
      <c r="F80" s="157">
        <f t="shared" si="8"/>
        <v>6000000</v>
      </c>
    </row>
    <row r="81" spans="1:6" ht="25.5" x14ac:dyDescent="0.2">
      <c r="A81" s="159" t="s">
        <v>533</v>
      </c>
      <c r="B81" s="160" t="s">
        <v>875</v>
      </c>
      <c r="C81" s="160"/>
      <c r="D81" s="161"/>
      <c r="E81" s="161"/>
      <c r="F81" s="157">
        <f t="shared" si="8"/>
        <v>0</v>
      </c>
    </row>
    <row r="82" spans="1:6" ht="25.5" x14ac:dyDescent="0.2">
      <c r="A82" s="159" t="s">
        <v>534</v>
      </c>
      <c r="B82" s="160" t="s">
        <v>875</v>
      </c>
      <c r="C82" s="160"/>
      <c r="D82" s="161"/>
      <c r="E82" s="161"/>
      <c r="F82" s="157">
        <f t="shared" si="8"/>
        <v>0</v>
      </c>
    </row>
    <row r="83" spans="1:6" x14ac:dyDescent="0.2">
      <c r="A83" s="159" t="s">
        <v>390</v>
      </c>
      <c r="B83" s="160"/>
      <c r="C83" s="160"/>
      <c r="D83" s="161"/>
      <c r="E83" s="161"/>
      <c r="F83" s="157">
        <f t="shared" si="8"/>
        <v>0</v>
      </c>
    </row>
    <row r="84" spans="1:6" x14ac:dyDescent="0.2">
      <c r="A84" s="163" t="s">
        <v>391</v>
      </c>
      <c r="B84" s="164"/>
      <c r="C84" s="164"/>
      <c r="D84" s="165"/>
      <c r="E84" s="165"/>
      <c r="F84" s="157">
        <f t="shared" si="8"/>
        <v>0</v>
      </c>
    </row>
    <row r="85" spans="1:6" x14ac:dyDescent="0.2">
      <c r="A85" s="621"/>
      <c r="B85" s="166"/>
      <c r="C85" s="166"/>
      <c r="D85" s="166"/>
      <c r="E85" s="166"/>
      <c r="F85" s="622"/>
    </row>
    <row r="86" spans="1:6" x14ac:dyDescent="0.2">
      <c r="A86" s="167" t="s">
        <v>392</v>
      </c>
      <c r="B86" s="1085">
        <f>SUM(B88:B93)</f>
        <v>3330000</v>
      </c>
      <c r="C86" s="1085">
        <f>SUM(C88:C93)</f>
        <v>2667183</v>
      </c>
      <c r="D86" s="1085">
        <f t="shared" ref="D86:E86" si="9">SUM(D88:D93)</f>
        <v>0</v>
      </c>
      <c r="E86" s="1085">
        <f t="shared" si="9"/>
        <v>0</v>
      </c>
      <c r="F86" s="1086">
        <f>SUM(F88:F93)</f>
        <v>5997183</v>
      </c>
    </row>
    <row r="87" spans="1:6" x14ac:dyDescent="0.2">
      <c r="A87" s="151" t="s">
        <v>388</v>
      </c>
      <c r="B87" s="152"/>
      <c r="C87" s="152"/>
      <c r="D87" s="152"/>
      <c r="E87" s="152"/>
      <c r="F87" s="153">
        <f t="shared" ref="F87:F93" si="10">SUM(B87:E87)</f>
        <v>0</v>
      </c>
    </row>
    <row r="88" spans="1:6" x14ac:dyDescent="0.2">
      <c r="A88" s="159" t="s">
        <v>393</v>
      </c>
      <c r="B88" s="168"/>
      <c r="C88" s="168">
        <v>125209</v>
      </c>
      <c r="D88" s="168"/>
      <c r="E88" s="168"/>
      <c r="F88" s="162">
        <f t="shared" si="10"/>
        <v>125209</v>
      </c>
    </row>
    <row r="89" spans="1:6" ht="25.5" x14ac:dyDescent="0.2">
      <c r="A89" s="159" t="s">
        <v>201</v>
      </c>
      <c r="B89" s="168"/>
      <c r="C89" s="168">
        <v>21974</v>
      </c>
      <c r="D89" s="168"/>
      <c r="E89" s="168"/>
      <c r="F89" s="162">
        <f t="shared" si="10"/>
        <v>21974</v>
      </c>
    </row>
    <row r="90" spans="1:6" x14ac:dyDescent="0.2">
      <c r="A90" s="159" t="s">
        <v>394</v>
      </c>
      <c r="B90" s="168">
        <v>30000</v>
      </c>
      <c r="C90" s="168">
        <v>2520000</v>
      </c>
      <c r="D90" s="169"/>
      <c r="E90" s="169"/>
      <c r="F90" s="162">
        <f t="shared" si="10"/>
        <v>2550000</v>
      </c>
    </row>
    <row r="91" spans="1:6" x14ac:dyDescent="0.2">
      <c r="A91" s="159" t="s">
        <v>395</v>
      </c>
      <c r="B91" s="168">
        <v>3300000</v>
      </c>
      <c r="C91" s="168"/>
      <c r="D91" s="169"/>
      <c r="E91" s="169"/>
      <c r="F91" s="162">
        <f t="shared" si="10"/>
        <v>3300000</v>
      </c>
    </row>
    <row r="92" spans="1:6" x14ac:dyDescent="0.2">
      <c r="A92" s="159" t="s">
        <v>396</v>
      </c>
      <c r="B92" s="168"/>
      <c r="C92" s="168"/>
      <c r="D92" s="169"/>
      <c r="E92" s="169"/>
      <c r="F92" s="162">
        <f t="shared" si="10"/>
        <v>0</v>
      </c>
    </row>
    <row r="93" spans="1:6" x14ac:dyDescent="0.2">
      <c r="A93" s="163" t="s">
        <v>230</v>
      </c>
      <c r="B93" s="172"/>
      <c r="C93" s="172"/>
      <c r="D93" s="173"/>
      <c r="E93" s="173"/>
      <c r="F93" s="162">
        <f t="shared" si="10"/>
        <v>0</v>
      </c>
    </row>
    <row r="94" spans="1:6" ht="27" x14ac:dyDescent="0.2">
      <c r="A94" s="456" t="s">
        <v>397</v>
      </c>
      <c r="B94" s="174">
        <f>SUM(B79:B81)</f>
        <v>6000000</v>
      </c>
      <c r="C94" s="174">
        <f t="shared" ref="C94:F94" si="11">SUM(C79:C81)</f>
        <v>0</v>
      </c>
      <c r="D94" s="174">
        <f t="shared" si="11"/>
        <v>0</v>
      </c>
      <c r="E94" s="174">
        <f t="shared" si="11"/>
        <v>0</v>
      </c>
      <c r="F94" s="623">
        <f t="shared" si="11"/>
        <v>6000000</v>
      </c>
    </row>
    <row r="95" spans="1:6" ht="27" x14ac:dyDescent="0.2">
      <c r="A95" s="456" t="s">
        <v>398</v>
      </c>
      <c r="B95" s="174">
        <f>SUM(B82)</f>
        <v>0</v>
      </c>
      <c r="C95" s="174">
        <f>SUM(C82)</f>
        <v>0</v>
      </c>
      <c r="D95" s="175"/>
      <c r="E95" s="175"/>
      <c r="F95" s="176">
        <f>SUM(B95:C95)</f>
        <v>0</v>
      </c>
    </row>
    <row r="96" spans="1:6" ht="13.5" x14ac:dyDescent="0.2">
      <c r="A96" s="1014"/>
      <c r="B96" s="185"/>
      <c r="C96" s="185"/>
      <c r="D96" s="185"/>
      <c r="E96" s="185"/>
      <c r="F96" s="186"/>
    </row>
    <row r="97" spans="1:6" ht="15" x14ac:dyDescent="0.2">
      <c r="A97" s="177"/>
      <c r="B97" s="178"/>
      <c r="C97" s="178"/>
      <c r="D97" s="178"/>
      <c r="E97" s="178"/>
      <c r="F97" s="1087"/>
    </row>
    <row r="98" spans="1:6" x14ac:dyDescent="0.2">
      <c r="A98" s="137" t="s">
        <v>380</v>
      </c>
      <c r="B98" s="996" t="s">
        <v>880</v>
      </c>
    </row>
    <row r="99" spans="1:6" x14ac:dyDescent="0.2">
      <c r="A99" s="137" t="s">
        <v>381</v>
      </c>
      <c r="B99" s="1159" t="s">
        <v>881</v>
      </c>
      <c r="C99" s="1159"/>
      <c r="D99" s="1159"/>
      <c r="E99" s="1159"/>
      <c r="F99" s="1159"/>
    </row>
    <row r="100" spans="1:6" ht="15.75" x14ac:dyDescent="0.2">
      <c r="A100" s="137" t="s">
        <v>536</v>
      </c>
      <c r="B100" s="1156">
        <v>43390820</v>
      </c>
      <c r="C100" s="1156"/>
      <c r="D100" s="455"/>
      <c r="E100" s="1036"/>
      <c r="F100" s="1081"/>
    </row>
    <row r="101" spans="1:6" ht="15.75" x14ac:dyDescent="0.2">
      <c r="A101" s="137" t="s">
        <v>535</v>
      </c>
      <c r="B101" s="1156"/>
      <c r="C101" s="1156"/>
      <c r="D101" s="1156"/>
      <c r="E101" s="183">
        <f>B100-E102</f>
        <v>43390820</v>
      </c>
      <c r="F101" s="1081" t="s">
        <v>357</v>
      </c>
    </row>
    <row r="102" spans="1:6" ht="15.75" x14ac:dyDescent="0.2">
      <c r="A102" s="137"/>
      <c r="B102" s="1156"/>
      <c r="C102" s="1156"/>
      <c r="D102" s="1156"/>
      <c r="E102" s="183"/>
      <c r="F102" s="1081" t="s">
        <v>357</v>
      </c>
    </row>
    <row r="103" spans="1:6" ht="15.75" x14ac:dyDescent="0.2">
      <c r="A103" s="137" t="s">
        <v>382</v>
      </c>
      <c r="B103" s="1155">
        <v>1</v>
      </c>
      <c r="C103" s="1155"/>
      <c r="D103" s="1038"/>
      <c r="E103" s="1038"/>
      <c r="F103" s="1081"/>
    </row>
    <row r="104" spans="1:6" ht="15.75" x14ac:dyDescent="0.2">
      <c r="A104" s="137" t="s">
        <v>383</v>
      </c>
      <c r="B104" s="1157" t="s">
        <v>502</v>
      </c>
      <c r="C104" s="1158"/>
      <c r="D104" s="1037"/>
      <c r="E104" s="1037"/>
      <c r="F104" s="1081"/>
    </row>
    <row r="105" spans="1:6" ht="15.75" x14ac:dyDescent="0.2">
      <c r="A105" s="137" t="s">
        <v>384</v>
      </c>
      <c r="B105" s="1157" t="s">
        <v>503</v>
      </c>
      <c r="C105" s="1158"/>
      <c r="D105" s="1037"/>
      <c r="E105" s="1037"/>
      <c r="F105" s="1081"/>
    </row>
    <row r="106" spans="1:6" x14ac:dyDescent="0.2">
      <c r="A106" s="143"/>
      <c r="B106" s="144"/>
      <c r="C106" s="144"/>
      <c r="D106" s="144"/>
      <c r="E106" s="144"/>
      <c r="F106" s="145" t="s">
        <v>371</v>
      </c>
    </row>
    <row r="107" spans="1:6" ht="38.25" x14ac:dyDescent="0.2">
      <c r="A107" s="146" t="s">
        <v>262</v>
      </c>
      <c r="B107" s="147" t="s">
        <v>385</v>
      </c>
      <c r="C107" s="148" t="s">
        <v>386</v>
      </c>
      <c r="D107" s="148" t="s">
        <v>532</v>
      </c>
      <c r="E107" s="148" t="s">
        <v>723</v>
      </c>
      <c r="F107" s="149" t="s">
        <v>366</v>
      </c>
    </row>
    <row r="108" spans="1:6" x14ac:dyDescent="0.2">
      <c r="A108" s="150" t="s">
        <v>387</v>
      </c>
      <c r="B108" s="1082">
        <f>SUM(B110:B115)</f>
        <v>41338500</v>
      </c>
      <c r="C108" s="1083">
        <f>SUM(C110:C115)</f>
        <v>2052320</v>
      </c>
      <c r="D108" s="1083"/>
      <c r="E108" s="1083"/>
      <c r="F108" s="1084">
        <f>SUM(B108:C108)</f>
        <v>43390820</v>
      </c>
    </row>
    <row r="109" spans="1:6" x14ac:dyDescent="0.2">
      <c r="A109" s="151" t="s">
        <v>388</v>
      </c>
      <c r="B109" s="152"/>
      <c r="C109" s="152"/>
      <c r="D109" s="152"/>
      <c r="E109" s="152"/>
      <c r="F109" s="153">
        <f>SUM(B109:E109)</f>
        <v>0</v>
      </c>
    </row>
    <row r="110" spans="1:6" x14ac:dyDescent="0.2">
      <c r="A110" s="154" t="s">
        <v>377</v>
      </c>
      <c r="B110" s="155"/>
      <c r="C110" s="155">
        <v>2052320</v>
      </c>
      <c r="D110" s="156"/>
      <c r="E110" s="156"/>
      <c r="F110" s="157">
        <f t="shared" ref="F110:F115" si="12">SUM(B110:E110)</f>
        <v>2052320</v>
      </c>
    </row>
    <row r="111" spans="1:6" x14ac:dyDescent="0.2">
      <c r="A111" s="159" t="s">
        <v>389</v>
      </c>
      <c r="B111" s="160">
        <v>41338500</v>
      </c>
      <c r="C111" s="160"/>
      <c r="D111" s="161"/>
      <c r="E111" s="161"/>
      <c r="F111" s="157">
        <f t="shared" si="12"/>
        <v>41338500</v>
      </c>
    </row>
    <row r="112" spans="1:6" ht="25.5" x14ac:dyDescent="0.2">
      <c r="A112" s="159" t="s">
        <v>533</v>
      </c>
      <c r="B112" s="160" t="s">
        <v>875</v>
      </c>
      <c r="C112" s="160"/>
      <c r="D112" s="161"/>
      <c r="E112" s="161"/>
      <c r="F112" s="157">
        <f t="shared" si="12"/>
        <v>0</v>
      </c>
    </row>
    <row r="113" spans="1:6" ht="25.5" x14ac:dyDescent="0.2">
      <c r="A113" s="159" t="s">
        <v>534</v>
      </c>
      <c r="B113" s="160" t="s">
        <v>875</v>
      </c>
      <c r="C113" s="160"/>
      <c r="D113" s="161"/>
      <c r="E113" s="161"/>
      <c r="F113" s="157">
        <f t="shared" si="12"/>
        <v>0</v>
      </c>
    </row>
    <row r="114" spans="1:6" x14ac:dyDescent="0.2">
      <c r="A114" s="159" t="s">
        <v>390</v>
      </c>
      <c r="B114" s="160"/>
      <c r="C114" s="160"/>
      <c r="D114" s="161"/>
      <c r="E114" s="161"/>
      <c r="F114" s="157">
        <f t="shared" si="12"/>
        <v>0</v>
      </c>
    </row>
    <row r="115" spans="1:6" x14ac:dyDescent="0.2">
      <c r="A115" s="163" t="s">
        <v>391</v>
      </c>
      <c r="B115" s="164"/>
      <c r="C115" s="164"/>
      <c r="D115" s="165"/>
      <c r="E115" s="165"/>
      <c r="F115" s="157">
        <f t="shared" si="12"/>
        <v>0</v>
      </c>
    </row>
    <row r="116" spans="1:6" x14ac:dyDescent="0.2">
      <c r="A116" s="621"/>
      <c r="B116" s="166"/>
      <c r="C116" s="166"/>
      <c r="D116" s="166"/>
      <c r="E116" s="166"/>
      <c r="F116" s="622"/>
    </row>
    <row r="117" spans="1:6" x14ac:dyDescent="0.2">
      <c r="A117" s="167" t="s">
        <v>392</v>
      </c>
      <c r="B117" s="1085">
        <v>1714500</v>
      </c>
      <c r="C117" s="1085">
        <f>SUM(C119:C124)</f>
        <v>41676320</v>
      </c>
      <c r="D117" s="1085">
        <f t="shared" ref="D117:E117" si="13">SUM(D119:D124)</f>
        <v>0</v>
      </c>
      <c r="E117" s="1085">
        <f t="shared" si="13"/>
        <v>0</v>
      </c>
      <c r="F117" s="1086">
        <f>SUM(F119:F124)</f>
        <v>43390820</v>
      </c>
    </row>
    <row r="118" spans="1:6" x14ac:dyDescent="0.2">
      <c r="A118" s="151" t="s">
        <v>388</v>
      </c>
      <c r="B118" s="152"/>
      <c r="C118" s="152"/>
      <c r="D118" s="152"/>
      <c r="E118" s="152"/>
      <c r="F118" s="153">
        <f t="shared" ref="F118:F124" si="14">SUM(B118:E118)</f>
        <v>0</v>
      </c>
    </row>
    <row r="119" spans="1:6" x14ac:dyDescent="0.2">
      <c r="A119" s="159" t="s">
        <v>393</v>
      </c>
      <c r="B119" s="168"/>
      <c r="C119" s="168"/>
      <c r="D119" s="168"/>
      <c r="E119" s="168"/>
      <c r="F119" s="162">
        <f t="shared" si="14"/>
        <v>0</v>
      </c>
    </row>
    <row r="120" spans="1:6" ht="25.5" x14ac:dyDescent="0.2">
      <c r="A120" s="159" t="s">
        <v>201</v>
      </c>
      <c r="B120" s="168"/>
      <c r="C120" s="168"/>
      <c r="D120" s="168"/>
      <c r="E120" s="168"/>
      <c r="F120" s="162">
        <f t="shared" si="14"/>
        <v>0</v>
      </c>
    </row>
    <row r="121" spans="1:6" x14ac:dyDescent="0.2">
      <c r="A121" s="159" t="s">
        <v>394</v>
      </c>
      <c r="B121" s="168">
        <v>1714500</v>
      </c>
      <c r="C121" s="168">
        <v>2159000</v>
      </c>
      <c r="D121" s="169"/>
      <c r="E121" s="169"/>
      <c r="F121" s="162">
        <f t="shared" si="14"/>
        <v>3873500</v>
      </c>
    </row>
    <row r="122" spans="1:6" x14ac:dyDescent="0.2">
      <c r="A122" s="159" t="s">
        <v>395</v>
      </c>
      <c r="B122" s="168"/>
      <c r="C122" s="168">
        <v>6985000</v>
      </c>
      <c r="D122" s="169"/>
      <c r="E122" s="169"/>
      <c r="F122" s="162">
        <f t="shared" si="14"/>
        <v>6985000</v>
      </c>
    </row>
    <row r="123" spans="1:6" x14ac:dyDescent="0.2">
      <c r="A123" s="159" t="s">
        <v>396</v>
      </c>
      <c r="B123" s="168"/>
      <c r="C123" s="168">
        <f>30480000+C110</f>
        <v>32532320</v>
      </c>
      <c r="D123" s="169"/>
      <c r="E123" s="169"/>
      <c r="F123" s="162">
        <f t="shared" si="14"/>
        <v>32532320</v>
      </c>
    </row>
    <row r="124" spans="1:6" x14ac:dyDescent="0.2">
      <c r="A124" s="163" t="s">
        <v>230</v>
      </c>
      <c r="B124" s="172"/>
      <c r="C124" s="172"/>
      <c r="D124" s="173"/>
      <c r="E124" s="173"/>
      <c r="F124" s="162">
        <f t="shared" si="14"/>
        <v>0</v>
      </c>
    </row>
    <row r="125" spans="1:6" ht="27" x14ac:dyDescent="0.2">
      <c r="A125" s="456" t="s">
        <v>397</v>
      </c>
      <c r="B125" s="174">
        <f>SUM(B110:B112)</f>
        <v>41338500</v>
      </c>
      <c r="C125" s="174">
        <f>SUM(C110:C112)</f>
        <v>2052320</v>
      </c>
      <c r="D125" s="174">
        <f t="shared" ref="D125:E125" si="15">SUM(D110:D112)</f>
        <v>0</v>
      </c>
      <c r="E125" s="174">
        <f t="shared" si="15"/>
        <v>0</v>
      </c>
      <c r="F125" s="623">
        <f>SUM(F110:F112)</f>
        <v>43390820</v>
      </c>
    </row>
    <row r="126" spans="1:6" ht="27" x14ac:dyDescent="0.2">
      <c r="A126" s="456" t="s">
        <v>398</v>
      </c>
      <c r="B126" s="174">
        <f>SUM(B113)</f>
        <v>0</v>
      </c>
      <c r="C126" s="174">
        <f>SUM(C113)</f>
        <v>0</v>
      </c>
      <c r="D126" s="175"/>
      <c r="E126" s="175"/>
      <c r="F126" s="176">
        <f>SUM(B126:C126)</f>
        <v>0</v>
      </c>
    </row>
  </sheetData>
  <sheetProtection algorithmName="SHA-512" hashValue="gcvf5cHot6lqsER8sklzfkuTM98tdMUy0wQpTeAD1zw1ut+bfOz5YxIM4lQBES9Tf6cZ079rbTr2jv9acpy3gg==" saltValue="PEfkfjhsl7+aEV62VrSByw==" spinCount="100000" sheet="1" objects="1" scenarios="1" selectLockedCells="1" selectUnlockedCells="1"/>
  <mergeCells count="31">
    <mergeCell ref="B9:C9"/>
    <mergeCell ref="B10:C10"/>
    <mergeCell ref="B33:F33"/>
    <mergeCell ref="B36:C36"/>
    <mergeCell ref="B8:C8"/>
    <mergeCell ref="A1:F1"/>
    <mergeCell ref="B2:C2"/>
    <mergeCell ref="B5:C5"/>
    <mergeCell ref="B4:F4"/>
    <mergeCell ref="B6:D6"/>
    <mergeCell ref="B7:D7"/>
    <mergeCell ref="B35:F35"/>
    <mergeCell ref="B68:F68"/>
    <mergeCell ref="B69:C69"/>
    <mergeCell ref="B70:D70"/>
    <mergeCell ref="B71:D71"/>
    <mergeCell ref="B39:C39"/>
    <mergeCell ref="B40:C40"/>
    <mergeCell ref="B41:C41"/>
    <mergeCell ref="B37:D37"/>
    <mergeCell ref="B38:D38"/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……/2018. (….) önkormányzati rendelethez</oddHeader>
  </headerFooter>
  <rowBreaks count="3" manualBreakCount="3">
    <brk id="33" max="16383" man="1"/>
    <brk id="6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0"/>
  <sheetViews>
    <sheetView workbookViewId="0">
      <selection sqref="A1:M1"/>
    </sheetView>
  </sheetViews>
  <sheetFormatPr defaultRowHeight="12.75" x14ac:dyDescent="0.2"/>
  <cols>
    <col min="1" max="1" width="6.6640625" style="224" customWidth="1"/>
    <col min="2" max="2" width="38.33203125" style="187" customWidth="1"/>
    <col min="3" max="3" width="13" style="187" customWidth="1"/>
    <col min="4" max="7" width="15.5" style="225" customWidth="1"/>
    <col min="8" max="8" width="14.33203125" style="225" customWidth="1"/>
    <col min="9" max="9" width="13" style="225" customWidth="1"/>
    <col min="10" max="11" width="14" style="225" customWidth="1"/>
    <col min="12" max="12" width="13.33203125" style="187" customWidth="1"/>
    <col min="13" max="13" width="14.6640625" style="187" customWidth="1"/>
    <col min="14" max="258" width="9.33203125" style="187"/>
    <col min="259" max="259" width="6.6640625" style="187" customWidth="1"/>
    <col min="260" max="260" width="24.6640625" style="187" customWidth="1"/>
    <col min="261" max="261" width="13" style="187" customWidth="1"/>
    <col min="262" max="263" width="15.5" style="187" customWidth="1"/>
    <col min="264" max="264" width="11.5" style="187" customWidth="1"/>
    <col min="265" max="265" width="13" style="187" customWidth="1"/>
    <col min="266" max="267" width="14" style="187" customWidth="1"/>
    <col min="268" max="268" width="13.33203125" style="187" customWidth="1"/>
    <col min="269" max="269" width="14.6640625" style="187" customWidth="1"/>
    <col min="270" max="514" width="9.33203125" style="187"/>
    <col min="515" max="515" width="6.6640625" style="187" customWidth="1"/>
    <col min="516" max="516" width="24.6640625" style="187" customWidth="1"/>
    <col min="517" max="517" width="13" style="187" customWidth="1"/>
    <col min="518" max="519" width="15.5" style="187" customWidth="1"/>
    <col min="520" max="520" width="11.5" style="187" customWidth="1"/>
    <col min="521" max="521" width="13" style="187" customWidth="1"/>
    <col min="522" max="523" width="14" style="187" customWidth="1"/>
    <col min="524" max="524" width="13.33203125" style="187" customWidth="1"/>
    <col min="525" max="525" width="14.6640625" style="187" customWidth="1"/>
    <col min="526" max="770" width="9.33203125" style="187"/>
    <col min="771" max="771" width="6.6640625" style="187" customWidth="1"/>
    <col min="772" max="772" width="24.6640625" style="187" customWidth="1"/>
    <col min="773" max="773" width="13" style="187" customWidth="1"/>
    <col min="774" max="775" width="15.5" style="187" customWidth="1"/>
    <col min="776" max="776" width="11.5" style="187" customWidth="1"/>
    <col min="777" max="777" width="13" style="187" customWidth="1"/>
    <col min="778" max="779" width="14" style="187" customWidth="1"/>
    <col min="780" max="780" width="13.33203125" style="187" customWidth="1"/>
    <col min="781" max="781" width="14.6640625" style="187" customWidth="1"/>
    <col min="782" max="1026" width="9.33203125" style="187"/>
    <col min="1027" max="1027" width="6.6640625" style="187" customWidth="1"/>
    <col min="1028" max="1028" width="24.6640625" style="187" customWidth="1"/>
    <col min="1029" max="1029" width="13" style="187" customWidth="1"/>
    <col min="1030" max="1031" width="15.5" style="187" customWidth="1"/>
    <col min="1032" max="1032" width="11.5" style="187" customWidth="1"/>
    <col min="1033" max="1033" width="13" style="187" customWidth="1"/>
    <col min="1034" max="1035" width="14" style="187" customWidth="1"/>
    <col min="1036" max="1036" width="13.33203125" style="187" customWidth="1"/>
    <col min="1037" max="1037" width="14.6640625" style="187" customWidth="1"/>
    <col min="1038" max="1282" width="9.33203125" style="187"/>
    <col min="1283" max="1283" width="6.6640625" style="187" customWidth="1"/>
    <col min="1284" max="1284" width="24.6640625" style="187" customWidth="1"/>
    <col min="1285" max="1285" width="13" style="187" customWidth="1"/>
    <col min="1286" max="1287" width="15.5" style="187" customWidth="1"/>
    <col min="1288" max="1288" width="11.5" style="187" customWidth="1"/>
    <col min="1289" max="1289" width="13" style="187" customWidth="1"/>
    <col min="1290" max="1291" width="14" style="187" customWidth="1"/>
    <col min="1292" max="1292" width="13.33203125" style="187" customWidth="1"/>
    <col min="1293" max="1293" width="14.6640625" style="187" customWidth="1"/>
    <col min="1294" max="1538" width="9.33203125" style="187"/>
    <col min="1539" max="1539" width="6.6640625" style="187" customWidth="1"/>
    <col min="1540" max="1540" width="24.6640625" style="187" customWidth="1"/>
    <col min="1541" max="1541" width="13" style="187" customWidth="1"/>
    <col min="1542" max="1543" width="15.5" style="187" customWidth="1"/>
    <col min="1544" max="1544" width="11.5" style="187" customWidth="1"/>
    <col min="1545" max="1545" width="13" style="187" customWidth="1"/>
    <col min="1546" max="1547" width="14" style="187" customWidth="1"/>
    <col min="1548" max="1548" width="13.33203125" style="187" customWidth="1"/>
    <col min="1549" max="1549" width="14.6640625" style="187" customWidth="1"/>
    <col min="1550" max="1794" width="9.33203125" style="187"/>
    <col min="1795" max="1795" width="6.6640625" style="187" customWidth="1"/>
    <col min="1796" max="1796" width="24.6640625" style="187" customWidth="1"/>
    <col min="1797" max="1797" width="13" style="187" customWidth="1"/>
    <col min="1798" max="1799" width="15.5" style="187" customWidth="1"/>
    <col min="1800" max="1800" width="11.5" style="187" customWidth="1"/>
    <col min="1801" max="1801" width="13" style="187" customWidth="1"/>
    <col min="1802" max="1803" width="14" style="187" customWidth="1"/>
    <col min="1804" max="1804" width="13.33203125" style="187" customWidth="1"/>
    <col min="1805" max="1805" width="14.6640625" style="187" customWidth="1"/>
    <col min="1806" max="2050" width="9.33203125" style="187"/>
    <col min="2051" max="2051" width="6.6640625" style="187" customWidth="1"/>
    <col min="2052" max="2052" width="24.6640625" style="187" customWidth="1"/>
    <col min="2053" max="2053" width="13" style="187" customWidth="1"/>
    <col min="2054" max="2055" width="15.5" style="187" customWidth="1"/>
    <col min="2056" max="2056" width="11.5" style="187" customWidth="1"/>
    <col min="2057" max="2057" width="13" style="187" customWidth="1"/>
    <col min="2058" max="2059" width="14" style="187" customWidth="1"/>
    <col min="2060" max="2060" width="13.33203125" style="187" customWidth="1"/>
    <col min="2061" max="2061" width="14.6640625" style="187" customWidth="1"/>
    <col min="2062" max="2306" width="9.33203125" style="187"/>
    <col min="2307" max="2307" width="6.6640625" style="187" customWidth="1"/>
    <col min="2308" max="2308" width="24.6640625" style="187" customWidth="1"/>
    <col min="2309" max="2309" width="13" style="187" customWidth="1"/>
    <col min="2310" max="2311" width="15.5" style="187" customWidth="1"/>
    <col min="2312" max="2312" width="11.5" style="187" customWidth="1"/>
    <col min="2313" max="2313" width="13" style="187" customWidth="1"/>
    <col min="2314" max="2315" width="14" style="187" customWidth="1"/>
    <col min="2316" max="2316" width="13.33203125" style="187" customWidth="1"/>
    <col min="2317" max="2317" width="14.6640625" style="187" customWidth="1"/>
    <col min="2318" max="2562" width="9.33203125" style="187"/>
    <col min="2563" max="2563" width="6.6640625" style="187" customWidth="1"/>
    <col min="2564" max="2564" width="24.6640625" style="187" customWidth="1"/>
    <col min="2565" max="2565" width="13" style="187" customWidth="1"/>
    <col min="2566" max="2567" width="15.5" style="187" customWidth="1"/>
    <col min="2568" max="2568" width="11.5" style="187" customWidth="1"/>
    <col min="2569" max="2569" width="13" style="187" customWidth="1"/>
    <col min="2570" max="2571" width="14" style="187" customWidth="1"/>
    <col min="2572" max="2572" width="13.33203125" style="187" customWidth="1"/>
    <col min="2573" max="2573" width="14.6640625" style="187" customWidth="1"/>
    <col min="2574" max="2818" width="9.33203125" style="187"/>
    <col min="2819" max="2819" width="6.6640625" style="187" customWidth="1"/>
    <col min="2820" max="2820" width="24.6640625" style="187" customWidth="1"/>
    <col min="2821" max="2821" width="13" style="187" customWidth="1"/>
    <col min="2822" max="2823" width="15.5" style="187" customWidth="1"/>
    <col min="2824" max="2824" width="11.5" style="187" customWidth="1"/>
    <col min="2825" max="2825" width="13" style="187" customWidth="1"/>
    <col min="2826" max="2827" width="14" style="187" customWidth="1"/>
    <col min="2828" max="2828" width="13.33203125" style="187" customWidth="1"/>
    <col min="2829" max="2829" width="14.6640625" style="187" customWidth="1"/>
    <col min="2830" max="3074" width="9.33203125" style="187"/>
    <col min="3075" max="3075" width="6.6640625" style="187" customWidth="1"/>
    <col min="3076" max="3076" width="24.6640625" style="187" customWidth="1"/>
    <col min="3077" max="3077" width="13" style="187" customWidth="1"/>
    <col min="3078" max="3079" width="15.5" style="187" customWidth="1"/>
    <col min="3080" max="3080" width="11.5" style="187" customWidth="1"/>
    <col min="3081" max="3081" width="13" style="187" customWidth="1"/>
    <col min="3082" max="3083" width="14" style="187" customWidth="1"/>
    <col min="3084" max="3084" width="13.33203125" style="187" customWidth="1"/>
    <col min="3085" max="3085" width="14.6640625" style="187" customWidth="1"/>
    <col min="3086" max="3330" width="9.33203125" style="187"/>
    <col min="3331" max="3331" width="6.6640625" style="187" customWidth="1"/>
    <col min="3332" max="3332" width="24.6640625" style="187" customWidth="1"/>
    <col min="3333" max="3333" width="13" style="187" customWidth="1"/>
    <col min="3334" max="3335" width="15.5" style="187" customWidth="1"/>
    <col min="3336" max="3336" width="11.5" style="187" customWidth="1"/>
    <col min="3337" max="3337" width="13" style="187" customWidth="1"/>
    <col min="3338" max="3339" width="14" style="187" customWidth="1"/>
    <col min="3340" max="3340" width="13.33203125" style="187" customWidth="1"/>
    <col min="3341" max="3341" width="14.6640625" style="187" customWidth="1"/>
    <col min="3342" max="3586" width="9.33203125" style="187"/>
    <col min="3587" max="3587" width="6.6640625" style="187" customWidth="1"/>
    <col min="3588" max="3588" width="24.6640625" style="187" customWidth="1"/>
    <col min="3589" max="3589" width="13" style="187" customWidth="1"/>
    <col min="3590" max="3591" width="15.5" style="187" customWidth="1"/>
    <col min="3592" max="3592" width="11.5" style="187" customWidth="1"/>
    <col min="3593" max="3593" width="13" style="187" customWidth="1"/>
    <col min="3594" max="3595" width="14" style="187" customWidth="1"/>
    <col min="3596" max="3596" width="13.33203125" style="187" customWidth="1"/>
    <col min="3597" max="3597" width="14.6640625" style="187" customWidth="1"/>
    <col min="3598" max="3842" width="9.33203125" style="187"/>
    <col min="3843" max="3843" width="6.6640625" style="187" customWidth="1"/>
    <col min="3844" max="3844" width="24.6640625" style="187" customWidth="1"/>
    <col min="3845" max="3845" width="13" style="187" customWidth="1"/>
    <col min="3846" max="3847" width="15.5" style="187" customWidth="1"/>
    <col min="3848" max="3848" width="11.5" style="187" customWidth="1"/>
    <col min="3849" max="3849" width="13" style="187" customWidth="1"/>
    <col min="3850" max="3851" width="14" style="187" customWidth="1"/>
    <col min="3852" max="3852" width="13.33203125" style="187" customWidth="1"/>
    <col min="3853" max="3853" width="14.6640625" style="187" customWidth="1"/>
    <col min="3854" max="4098" width="9.33203125" style="187"/>
    <col min="4099" max="4099" width="6.6640625" style="187" customWidth="1"/>
    <col min="4100" max="4100" width="24.6640625" style="187" customWidth="1"/>
    <col min="4101" max="4101" width="13" style="187" customWidth="1"/>
    <col min="4102" max="4103" width="15.5" style="187" customWidth="1"/>
    <col min="4104" max="4104" width="11.5" style="187" customWidth="1"/>
    <col min="4105" max="4105" width="13" style="187" customWidth="1"/>
    <col min="4106" max="4107" width="14" style="187" customWidth="1"/>
    <col min="4108" max="4108" width="13.33203125" style="187" customWidth="1"/>
    <col min="4109" max="4109" width="14.6640625" style="187" customWidth="1"/>
    <col min="4110" max="4354" width="9.33203125" style="187"/>
    <col min="4355" max="4355" width="6.6640625" style="187" customWidth="1"/>
    <col min="4356" max="4356" width="24.6640625" style="187" customWidth="1"/>
    <col min="4357" max="4357" width="13" style="187" customWidth="1"/>
    <col min="4358" max="4359" width="15.5" style="187" customWidth="1"/>
    <col min="4360" max="4360" width="11.5" style="187" customWidth="1"/>
    <col min="4361" max="4361" width="13" style="187" customWidth="1"/>
    <col min="4362" max="4363" width="14" style="187" customWidth="1"/>
    <col min="4364" max="4364" width="13.33203125" style="187" customWidth="1"/>
    <col min="4365" max="4365" width="14.6640625" style="187" customWidth="1"/>
    <col min="4366" max="4610" width="9.33203125" style="187"/>
    <col min="4611" max="4611" width="6.6640625" style="187" customWidth="1"/>
    <col min="4612" max="4612" width="24.6640625" style="187" customWidth="1"/>
    <col min="4613" max="4613" width="13" style="187" customWidth="1"/>
    <col min="4614" max="4615" width="15.5" style="187" customWidth="1"/>
    <col min="4616" max="4616" width="11.5" style="187" customWidth="1"/>
    <col min="4617" max="4617" width="13" style="187" customWidth="1"/>
    <col min="4618" max="4619" width="14" style="187" customWidth="1"/>
    <col min="4620" max="4620" width="13.33203125" style="187" customWidth="1"/>
    <col min="4621" max="4621" width="14.6640625" style="187" customWidth="1"/>
    <col min="4622" max="4866" width="9.33203125" style="187"/>
    <col min="4867" max="4867" width="6.6640625" style="187" customWidth="1"/>
    <col min="4868" max="4868" width="24.6640625" style="187" customWidth="1"/>
    <col min="4869" max="4869" width="13" style="187" customWidth="1"/>
    <col min="4870" max="4871" width="15.5" style="187" customWidth="1"/>
    <col min="4872" max="4872" width="11.5" style="187" customWidth="1"/>
    <col min="4873" max="4873" width="13" style="187" customWidth="1"/>
    <col min="4874" max="4875" width="14" style="187" customWidth="1"/>
    <col min="4876" max="4876" width="13.33203125" style="187" customWidth="1"/>
    <col min="4877" max="4877" width="14.6640625" style="187" customWidth="1"/>
    <col min="4878" max="5122" width="9.33203125" style="187"/>
    <col min="5123" max="5123" width="6.6640625" style="187" customWidth="1"/>
    <col min="5124" max="5124" width="24.6640625" style="187" customWidth="1"/>
    <col min="5125" max="5125" width="13" style="187" customWidth="1"/>
    <col min="5126" max="5127" width="15.5" style="187" customWidth="1"/>
    <col min="5128" max="5128" width="11.5" style="187" customWidth="1"/>
    <col min="5129" max="5129" width="13" style="187" customWidth="1"/>
    <col min="5130" max="5131" width="14" style="187" customWidth="1"/>
    <col min="5132" max="5132" width="13.33203125" style="187" customWidth="1"/>
    <col min="5133" max="5133" width="14.6640625" style="187" customWidth="1"/>
    <col min="5134" max="5378" width="9.33203125" style="187"/>
    <col min="5379" max="5379" width="6.6640625" style="187" customWidth="1"/>
    <col min="5380" max="5380" width="24.6640625" style="187" customWidth="1"/>
    <col min="5381" max="5381" width="13" style="187" customWidth="1"/>
    <col min="5382" max="5383" width="15.5" style="187" customWidth="1"/>
    <col min="5384" max="5384" width="11.5" style="187" customWidth="1"/>
    <col min="5385" max="5385" width="13" style="187" customWidth="1"/>
    <col min="5386" max="5387" width="14" style="187" customWidth="1"/>
    <col min="5388" max="5388" width="13.33203125" style="187" customWidth="1"/>
    <col min="5389" max="5389" width="14.6640625" style="187" customWidth="1"/>
    <col min="5390" max="5634" width="9.33203125" style="187"/>
    <col min="5635" max="5635" width="6.6640625" style="187" customWidth="1"/>
    <col min="5636" max="5636" width="24.6640625" style="187" customWidth="1"/>
    <col min="5637" max="5637" width="13" style="187" customWidth="1"/>
    <col min="5638" max="5639" width="15.5" style="187" customWidth="1"/>
    <col min="5640" max="5640" width="11.5" style="187" customWidth="1"/>
    <col min="5641" max="5641" width="13" style="187" customWidth="1"/>
    <col min="5642" max="5643" width="14" style="187" customWidth="1"/>
    <col min="5644" max="5644" width="13.33203125" style="187" customWidth="1"/>
    <col min="5645" max="5645" width="14.6640625" style="187" customWidth="1"/>
    <col min="5646" max="5890" width="9.33203125" style="187"/>
    <col min="5891" max="5891" width="6.6640625" style="187" customWidth="1"/>
    <col min="5892" max="5892" width="24.6640625" style="187" customWidth="1"/>
    <col min="5893" max="5893" width="13" style="187" customWidth="1"/>
    <col min="5894" max="5895" width="15.5" style="187" customWidth="1"/>
    <col min="5896" max="5896" width="11.5" style="187" customWidth="1"/>
    <col min="5897" max="5897" width="13" style="187" customWidth="1"/>
    <col min="5898" max="5899" width="14" style="187" customWidth="1"/>
    <col min="5900" max="5900" width="13.33203125" style="187" customWidth="1"/>
    <col min="5901" max="5901" width="14.6640625" style="187" customWidth="1"/>
    <col min="5902" max="6146" width="9.33203125" style="187"/>
    <col min="6147" max="6147" width="6.6640625" style="187" customWidth="1"/>
    <col min="6148" max="6148" width="24.6640625" style="187" customWidth="1"/>
    <col min="6149" max="6149" width="13" style="187" customWidth="1"/>
    <col min="6150" max="6151" width="15.5" style="187" customWidth="1"/>
    <col min="6152" max="6152" width="11.5" style="187" customWidth="1"/>
    <col min="6153" max="6153" width="13" style="187" customWidth="1"/>
    <col min="6154" max="6155" width="14" style="187" customWidth="1"/>
    <col min="6156" max="6156" width="13.33203125" style="187" customWidth="1"/>
    <col min="6157" max="6157" width="14.6640625" style="187" customWidth="1"/>
    <col min="6158" max="6402" width="9.33203125" style="187"/>
    <col min="6403" max="6403" width="6.6640625" style="187" customWidth="1"/>
    <col min="6404" max="6404" width="24.6640625" style="187" customWidth="1"/>
    <col min="6405" max="6405" width="13" style="187" customWidth="1"/>
    <col min="6406" max="6407" width="15.5" style="187" customWidth="1"/>
    <col min="6408" max="6408" width="11.5" style="187" customWidth="1"/>
    <col min="6409" max="6409" width="13" style="187" customWidth="1"/>
    <col min="6410" max="6411" width="14" style="187" customWidth="1"/>
    <col min="6412" max="6412" width="13.33203125" style="187" customWidth="1"/>
    <col min="6413" max="6413" width="14.6640625" style="187" customWidth="1"/>
    <col min="6414" max="6658" width="9.33203125" style="187"/>
    <col min="6659" max="6659" width="6.6640625" style="187" customWidth="1"/>
    <col min="6660" max="6660" width="24.6640625" style="187" customWidth="1"/>
    <col min="6661" max="6661" width="13" style="187" customWidth="1"/>
    <col min="6662" max="6663" width="15.5" style="187" customWidth="1"/>
    <col min="6664" max="6664" width="11.5" style="187" customWidth="1"/>
    <col min="6665" max="6665" width="13" style="187" customWidth="1"/>
    <col min="6666" max="6667" width="14" style="187" customWidth="1"/>
    <col min="6668" max="6668" width="13.33203125" style="187" customWidth="1"/>
    <col min="6669" max="6669" width="14.6640625" style="187" customWidth="1"/>
    <col min="6670" max="6914" width="9.33203125" style="187"/>
    <col min="6915" max="6915" width="6.6640625" style="187" customWidth="1"/>
    <col min="6916" max="6916" width="24.6640625" style="187" customWidth="1"/>
    <col min="6917" max="6917" width="13" style="187" customWidth="1"/>
    <col min="6918" max="6919" width="15.5" style="187" customWidth="1"/>
    <col min="6920" max="6920" width="11.5" style="187" customWidth="1"/>
    <col min="6921" max="6921" width="13" style="187" customWidth="1"/>
    <col min="6922" max="6923" width="14" style="187" customWidth="1"/>
    <col min="6924" max="6924" width="13.33203125" style="187" customWidth="1"/>
    <col min="6925" max="6925" width="14.6640625" style="187" customWidth="1"/>
    <col min="6926" max="7170" width="9.33203125" style="187"/>
    <col min="7171" max="7171" width="6.6640625" style="187" customWidth="1"/>
    <col min="7172" max="7172" width="24.6640625" style="187" customWidth="1"/>
    <col min="7173" max="7173" width="13" style="187" customWidth="1"/>
    <col min="7174" max="7175" width="15.5" style="187" customWidth="1"/>
    <col min="7176" max="7176" width="11.5" style="187" customWidth="1"/>
    <col min="7177" max="7177" width="13" style="187" customWidth="1"/>
    <col min="7178" max="7179" width="14" style="187" customWidth="1"/>
    <col min="7180" max="7180" width="13.33203125" style="187" customWidth="1"/>
    <col min="7181" max="7181" width="14.6640625" style="187" customWidth="1"/>
    <col min="7182" max="7426" width="9.33203125" style="187"/>
    <col min="7427" max="7427" width="6.6640625" style="187" customWidth="1"/>
    <col min="7428" max="7428" width="24.6640625" style="187" customWidth="1"/>
    <col min="7429" max="7429" width="13" style="187" customWidth="1"/>
    <col min="7430" max="7431" width="15.5" style="187" customWidth="1"/>
    <col min="7432" max="7432" width="11.5" style="187" customWidth="1"/>
    <col min="7433" max="7433" width="13" style="187" customWidth="1"/>
    <col min="7434" max="7435" width="14" style="187" customWidth="1"/>
    <col min="7436" max="7436" width="13.33203125" style="187" customWidth="1"/>
    <col min="7437" max="7437" width="14.6640625" style="187" customWidth="1"/>
    <col min="7438" max="7682" width="9.33203125" style="187"/>
    <col min="7683" max="7683" width="6.6640625" style="187" customWidth="1"/>
    <col min="7684" max="7684" width="24.6640625" style="187" customWidth="1"/>
    <col min="7685" max="7685" width="13" style="187" customWidth="1"/>
    <col min="7686" max="7687" width="15.5" style="187" customWidth="1"/>
    <col min="7688" max="7688" width="11.5" style="187" customWidth="1"/>
    <col min="7689" max="7689" width="13" style="187" customWidth="1"/>
    <col min="7690" max="7691" width="14" style="187" customWidth="1"/>
    <col min="7692" max="7692" width="13.33203125" style="187" customWidth="1"/>
    <col min="7693" max="7693" width="14.6640625" style="187" customWidth="1"/>
    <col min="7694" max="7938" width="9.33203125" style="187"/>
    <col min="7939" max="7939" width="6.6640625" style="187" customWidth="1"/>
    <col min="7940" max="7940" width="24.6640625" style="187" customWidth="1"/>
    <col min="7941" max="7941" width="13" style="187" customWidth="1"/>
    <col min="7942" max="7943" width="15.5" style="187" customWidth="1"/>
    <col min="7944" max="7944" width="11.5" style="187" customWidth="1"/>
    <col min="7945" max="7945" width="13" style="187" customWidth="1"/>
    <col min="7946" max="7947" width="14" style="187" customWidth="1"/>
    <col min="7948" max="7948" width="13.33203125" style="187" customWidth="1"/>
    <col min="7949" max="7949" width="14.6640625" style="187" customWidth="1"/>
    <col min="7950" max="8194" width="9.33203125" style="187"/>
    <col min="8195" max="8195" width="6.6640625" style="187" customWidth="1"/>
    <col min="8196" max="8196" width="24.6640625" style="187" customWidth="1"/>
    <col min="8197" max="8197" width="13" style="187" customWidth="1"/>
    <col min="8198" max="8199" width="15.5" style="187" customWidth="1"/>
    <col min="8200" max="8200" width="11.5" style="187" customWidth="1"/>
    <col min="8201" max="8201" width="13" style="187" customWidth="1"/>
    <col min="8202" max="8203" width="14" style="187" customWidth="1"/>
    <col min="8204" max="8204" width="13.33203125" style="187" customWidth="1"/>
    <col min="8205" max="8205" width="14.6640625" style="187" customWidth="1"/>
    <col min="8206" max="8450" width="9.33203125" style="187"/>
    <col min="8451" max="8451" width="6.6640625" style="187" customWidth="1"/>
    <col min="8452" max="8452" width="24.6640625" style="187" customWidth="1"/>
    <col min="8453" max="8453" width="13" style="187" customWidth="1"/>
    <col min="8454" max="8455" width="15.5" style="187" customWidth="1"/>
    <col min="8456" max="8456" width="11.5" style="187" customWidth="1"/>
    <col min="8457" max="8457" width="13" style="187" customWidth="1"/>
    <col min="8458" max="8459" width="14" style="187" customWidth="1"/>
    <col min="8460" max="8460" width="13.33203125" style="187" customWidth="1"/>
    <col min="8461" max="8461" width="14.6640625" style="187" customWidth="1"/>
    <col min="8462" max="8706" width="9.33203125" style="187"/>
    <col min="8707" max="8707" width="6.6640625" style="187" customWidth="1"/>
    <col min="8708" max="8708" width="24.6640625" style="187" customWidth="1"/>
    <col min="8709" max="8709" width="13" style="187" customWidth="1"/>
    <col min="8710" max="8711" width="15.5" style="187" customWidth="1"/>
    <col min="8712" max="8712" width="11.5" style="187" customWidth="1"/>
    <col min="8713" max="8713" width="13" style="187" customWidth="1"/>
    <col min="8714" max="8715" width="14" style="187" customWidth="1"/>
    <col min="8716" max="8716" width="13.33203125" style="187" customWidth="1"/>
    <col min="8717" max="8717" width="14.6640625" style="187" customWidth="1"/>
    <col min="8718" max="8962" width="9.33203125" style="187"/>
    <col min="8963" max="8963" width="6.6640625" style="187" customWidth="1"/>
    <col min="8964" max="8964" width="24.6640625" style="187" customWidth="1"/>
    <col min="8965" max="8965" width="13" style="187" customWidth="1"/>
    <col min="8966" max="8967" width="15.5" style="187" customWidth="1"/>
    <col min="8968" max="8968" width="11.5" style="187" customWidth="1"/>
    <col min="8969" max="8969" width="13" style="187" customWidth="1"/>
    <col min="8970" max="8971" width="14" style="187" customWidth="1"/>
    <col min="8972" max="8972" width="13.33203125" style="187" customWidth="1"/>
    <col min="8973" max="8973" width="14.6640625" style="187" customWidth="1"/>
    <col min="8974" max="9218" width="9.33203125" style="187"/>
    <col min="9219" max="9219" width="6.6640625" style="187" customWidth="1"/>
    <col min="9220" max="9220" width="24.6640625" style="187" customWidth="1"/>
    <col min="9221" max="9221" width="13" style="187" customWidth="1"/>
    <col min="9222" max="9223" width="15.5" style="187" customWidth="1"/>
    <col min="9224" max="9224" width="11.5" style="187" customWidth="1"/>
    <col min="9225" max="9225" width="13" style="187" customWidth="1"/>
    <col min="9226" max="9227" width="14" style="187" customWidth="1"/>
    <col min="9228" max="9228" width="13.33203125" style="187" customWidth="1"/>
    <col min="9229" max="9229" width="14.6640625" style="187" customWidth="1"/>
    <col min="9230" max="9474" width="9.33203125" style="187"/>
    <col min="9475" max="9475" width="6.6640625" style="187" customWidth="1"/>
    <col min="9476" max="9476" width="24.6640625" style="187" customWidth="1"/>
    <col min="9477" max="9477" width="13" style="187" customWidth="1"/>
    <col min="9478" max="9479" width="15.5" style="187" customWidth="1"/>
    <col min="9480" max="9480" width="11.5" style="187" customWidth="1"/>
    <col min="9481" max="9481" width="13" style="187" customWidth="1"/>
    <col min="9482" max="9483" width="14" style="187" customWidth="1"/>
    <col min="9484" max="9484" width="13.33203125" style="187" customWidth="1"/>
    <col min="9485" max="9485" width="14.6640625" style="187" customWidth="1"/>
    <col min="9486" max="9730" width="9.33203125" style="187"/>
    <col min="9731" max="9731" width="6.6640625" style="187" customWidth="1"/>
    <col min="9732" max="9732" width="24.6640625" style="187" customWidth="1"/>
    <col min="9733" max="9733" width="13" style="187" customWidth="1"/>
    <col min="9734" max="9735" width="15.5" style="187" customWidth="1"/>
    <col min="9736" max="9736" width="11.5" style="187" customWidth="1"/>
    <col min="9737" max="9737" width="13" style="187" customWidth="1"/>
    <col min="9738" max="9739" width="14" style="187" customWidth="1"/>
    <col min="9740" max="9740" width="13.33203125" style="187" customWidth="1"/>
    <col min="9741" max="9741" width="14.6640625" style="187" customWidth="1"/>
    <col min="9742" max="9986" width="9.33203125" style="187"/>
    <col min="9987" max="9987" width="6.6640625" style="187" customWidth="1"/>
    <col min="9988" max="9988" width="24.6640625" style="187" customWidth="1"/>
    <col min="9989" max="9989" width="13" style="187" customWidth="1"/>
    <col min="9990" max="9991" width="15.5" style="187" customWidth="1"/>
    <col min="9992" max="9992" width="11.5" style="187" customWidth="1"/>
    <col min="9993" max="9993" width="13" style="187" customWidth="1"/>
    <col min="9994" max="9995" width="14" style="187" customWidth="1"/>
    <col min="9996" max="9996" width="13.33203125" style="187" customWidth="1"/>
    <col min="9997" max="9997" width="14.6640625" style="187" customWidth="1"/>
    <col min="9998" max="10242" width="9.33203125" style="187"/>
    <col min="10243" max="10243" width="6.6640625" style="187" customWidth="1"/>
    <col min="10244" max="10244" width="24.6640625" style="187" customWidth="1"/>
    <col min="10245" max="10245" width="13" style="187" customWidth="1"/>
    <col min="10246" max="10247" width="15.5" style="187" customWidth="1"/>
    <col min="10248" max="10248" width="11.5" style="187" customWidth="1"/>
    <col min="10249" max="10249" width="13" style="187" customWidth="1"/>
    <col min="10250" max="10251" width="14" style="187" customWidth="1"/>
    <col min="10252" max="10252" width="13.33203125" style="187" customWidth="1"/>
    <col min="10253" max="10253" width="14.6640625" style="187" customWidth="1"/>
    <col min="10254" max="10498" width="9.33203125" style="187"/>
    <col min="10499" max="10499" width="6.6640625" style="187" customWidth="1"/>
    <col min="10500" max="10500" width="24.6640625" style="187" customWidth="1"/>
    <col min="10501" max="10501" width="13" style="187" customWidth="1"/>
    <col min="10502" max="10503" width="15.5" style="187" customWidth="1"/>
    <col min="10504" max="10504" width="11.5" style="187" customWidth="1"/>
    <col min="10505" max="10505" width="13" style="187" customWidth="1"/>
    <col min="10506" max="10507" width="14" style="187" customWidth="1"/>
    <col min="10508" max="10508" width="13.33203125" style="187" customWidth="1"/>
    <col min="10509" max="10509" width="14.6640625" style="187" customWidth="1"/>
    <col min="10510" max="10754" width="9.33203125" style="187"/>
    <col min="10755" max="10755" width="6.6640625" style="187" customWidth="1"/>
    <col min="10756" max="10756" width="24.6640625" style="187" customWidth="1"/>
    <col min="10757" max="10757" width="13" style="187" customWidth="1"/>
    <col min="10758" max="10759" width="15.5" style="187" customWidth="1"/>
    <col min="10760" max="10760" width="11.5" style="187" customWidth="1"/>
    <col min="10761" max="10761" width="13" style="187" customWidth="1"/>
    <col min="10762" max="10763" width="14" style="187" customWidth="1"/>
    <col min="10764" max="10764" width="13.33203125" style="187" customWidth="1"/>
    <col min="10765" max="10765" width="14.6640625" style="187" customWidth="1"/>
    <col min="10766" max="11010" width="9.33203125" style="187"/>
    <col min="11011" max="11011" width="6.6640625" style="187" customWidth="1"/>
    <col min="11012" max="11012" width="24.6640625" style="187" customWidth="1"/>
    <col min="11013" max="11013" width="13" style="187" customWidth="1"/>
    <col min="11014" max="11015" width="15.5" style="187" customWidth="1"/>
    <col min="11016" max="11016" width="11.5" style="187" customWidth="1"/>
    <col min="11017" max="11017" width="13" style="187" customWidth="1"/>
    <col min="11018" max="11019" width="14" style="187" customWidth="1"/>
    <col min="11020" max="11020" width="13.33203125" style="187" customWidth="1"/>
    <col min="11021" max="11021" width="14.6640625" style="187" customWidth="1"/>
    <col min="11022" max="11266" width="9.33203125" style="187"/>
    <col min="11267" max="11267" width="6.6640625" style="187" customWidth="1"/>
    <col min="11268" max="11268" width="24.6640625" style="187" customWidth="1"/>
    <col min="11269" max="11269" width="13" style="187" customWidth="1"/>
    <col min="11270" max="11271" width="15.5" style="187" customWidth="1"/>
    <col min="11272" max="11272" width="11.5" style="187" customWidth="1"/>
    <col min="11273" max="11273" width="13" style="187" customWidth="1"/>
    <col min="11274" max="11275" width="14" style="187" customWidth="1"/>
    <col min="11276" max="11276" width="13.33203125" style="187" customWidth="1"/>
    <col min="11277" max="11277" width="14.6640625" style="187" customWidth="1"/>
    <col min="11278" max="11522" width="9.33203125" style="187"/>
    <col min="11523" max="11523" width="6.6640625" style="187" customWidth="1"/>
    <col min="11524" max="11524" width="24.6640625" style="187" customWidth="1"/>
    <col min="11525" max="11525" width="13" style="187" customWidth="1"/>
    <col min="11526" max="11527" width="15.5" style="187" customWidth="1"/>
    <col min="11528" max="11528" width="11.5" style="187" customWidth="1"/>
    <col min="11529" max="11529" width="13" style="187" customWidth="1"/>
    <col min="11530" max="11531" width="14" style="187" customWidth="1"/>
    <col min="11532" max="11532" width="13.33203125" style="187" customWidth="1"/>
    <col min="11533" max="11533" width="14.6640625" style="187" customWidth="1"/>
    <col min="11534" max="11778" width="9.33203125" style="187"/>
    <col min="11779" max="11779" width="6.6640625" style="187" customWidth="1"/>
    <col min="11780" max="11780" width="24.6640625" style="187" customWidth="1"/>
    <col min="11781" max="11781" width="13" style="187" customWidth="1"/>
    <col min="11782" max="11783" width="15.5" style="187" customWidth="1"/>
    <col min="11784" max="11784" width="11.5" style="187" customWidth="1"/>
    <col min="11785" max="11785" width="13" style="187" customWidth="1"/>
    <col min="11786" max="11787" width="14" style="187" customWidth="1"/>
    <col min="11788" max="11788" width="13.33203125" style="187" customWidth="1"/>
    <col min="11789" max="11789" width="14.6640625" style="187" customWidth="1"/>
    <col min="11790" max="12034" width="9.33203125" style="187"/>
    <col min="12035" max="12035" width="6.6640625" style="187" customWidth="1"/>
    <col min="12036" max="12036" width="24.6640625" style="187" customWidth="1"/>
    <col min="12037" max="12037" width="13" style="187" customWidth="1"/>
    <col min="12038" max="12039" width="15.5" style="187" customWidth="1"/>
    <col min="12040" max="12040" width="11.5" style="187" customWidth="1"/>
    <col min="12041" max="12041" width="13" style="187" customWidth="1"/>
    <col min="12042" max="12043" width="14" style="187" customWidth="1"/>
    <col min="12044" max="12044" width="13.33203125" style="187" customWidth="1"/>
    <col min="12045" max="12045" width="14.6640625" style="187" customWidth="1"/>
    <col min="12046" max="12290" width="9.33203125" style="187"/>
    <col min="12291" max="12291" width="6.6640625" style="187" customWidth="1"/>
    <col min="12292" max="12292" width="24.6640625" style="187" customWidth="1"/>
    <col min="12293" max="12293" width="13" style="187" customWidth="1"/>
    <col min="12294" max="12295" width="15.5" style="187" customWidth="1"/>
    <col min="12296" max="12296" width="11.5" style="187" customWidth="1"/>
    <col min="12297" max="12297" width="13" style="187" customWidth="1"/>
    <col min="12298" max="12299" width="14" style="187" customWidth="1"/>
    <col min="12300" max="12300" width="13.33203125" style="187" customWidth="1"/>
    <col min="12301" max="12301" width="14.6640625" style="187" customWidth="1"/>
    <col min="12302" max="12546" width="9.33203125" style="187"/>
    <col min="12547" max="12547" width="6.6640625" style="187" customWidth="1"/>
    <col min="12548" max="12548" width="24.6640625" style="187" customWidth="1"/>
    <col min="12549" max="12549" width="13" style="187" customWidth="1"/>
    <col min="12550" max="12551" width="15.5" style="187" customWidth="1"/>
    <col min="12552" max="12552" width="11.5" style="187" customWidth="1"/>
    <col min="12553" max="12553" width="13" style="187" customWidth="1"/>
    <col min="12554" max="12555" width="14" style="187" customWidth="1"/>
    <col min="12556" max="12556" width="13.33203125" style="187" customWidth="1"/>
    <col min="12557" max="12557" width="14.6640625" style="187" customWidth="1"/>
    <col min="12558" max="12802" width="9.33203125" style="187"/>
    <col min="12803" max="12803" width="6.6640625" style="187" customWidth="1"/>
    <col min="12804" max="12804" width="24.6640625" style="187" customWidth="1"/>
    <col min="12805" max="12805" width="13" style="187" customWidth="1"/>
    <col min="12806" max="12807" width="15.5" style="187" customWidth="1"/>
    <col min="12808" max="12808" width="11.5" style="187" customWidth="1"/>
    <col min="12809" max="12809" width="13" style="187" customWidth="1"/>
    <col min="12810" max="12811" width="14" style="187" customWidth="1"/>
    <col min="12812" max="12812" width="13.33203125" style="187" customWidth="1"/>
    <col min="12813" max="12813" width="14.6640625" style="187" customWidth="1"/>
    <col min="12814" max="13058" width="9.33203125" style="187"/>
    <col min="13059" max="13059" width="6.6640625" style="187" customWidth="1"/>
    <col min="13060" max="13060" width="24.6640625" style="187" customWidth="1"/>
    <col min="13061" max="13061" width="13" style="187" customWidth="1"/>
    <col min="13062" max="13063" width="15.5" style="187" customWidth="1"/>
    <col min="13064" max="13064" width="11.5" style="187" customWidth="1"/>
    <col min="13065" max="13065" width="13" style="187" customWidth="1"/>
    <col min="13066" max="13067" width="14" style="187" customWidth="1"/>
    <col min="13068" max="13068" width="13.33203125" style="187" customWidth="1"/>
    <col min="13069" max="13069" width="14.6640625" style="187" customWidth="1"/>
    <col min="13070" max="13314" width="9.33203125" style="187"/>
    <col min="13315" max="13315" width="6.6640625" style="187" customWidth="1"/>
    <col min="13316" max="13316" width="24.6640625" style="187" customWidth="1"/>
    <col min="13317" max="13317" width="13" style="187" customWidth="1"/>
    <col min="13318" max="13319" width="15.5" style="187" customWidth="1"/>
    <col min="13320" max="13320" width="11.5" style="187" customWidth="1"/>
    <col min="13321" max="13321" width="13" style="187" customWidth="1"/>
    <col min="13322" max="13323" width="14" style="187" customWidth="1"/>
    <col min="13324" max="13324" width="13.33203125" style="187" customWidth="1"/>
    <col min="13325" max="13325" width="14.6640625" style="187" customWidth="1"/>
    <col min="13326" max="13570" width="9.33203125" style="187"/>
    <col min="13571" max="13571" width="6.6640625" style="187" customWidth="1"/>
    <col min="13572" max="13572" width="24.6640625" style="187" customWidth="1"/>
    <col min="13573" max="13573" width="13" style="187" customWidth="1"/>
    <col min="13574" max="13575" width="15.5" style="187" customWidth="1"/>
    <col min="13576" max="13576" width="11.5" style="187" customWidth="1"/>
    <col min="13577" max="13577" width="13" style="187" customWidth="1"/>
    <col min="13578" max="13579" width="14" style="187" customWidth="1"/>
    <col min="13580" max="13580" width="13.33203125" style="187" customWidth="1"/>
    <col min="13581" max="13581" width="14.6640625" style="187" customWidth="1"/>
    <col min="13582" max="13826" width="9.33203125" style="187"/>
    <col min="13827" max="13827" width="6.6640625" style="187" customWidth="1"/>
    <col min="13828" max="13828" width="24.6640625" style="187" customWidth="1"/>
    <col min="13829" max="13829" width="13" style="187" customWidth="1"/>
    <col min="13830" max="13831" width="15.5" style="187" customWidth="1"/>
    <col min="13832" max="13832" width="11.5" style="187" customWidth="1"/>
    <col min="13833" max="13833" width="13" style="187" customWidth="1"/>
    <col min="13834" max="13835" width="14" style="187" customWidth="1"/>
    <col min="13836" max="13836" width="13.33203125" style="187" customWidth="1"/>
    <col min="13837" max="13837" width="14.6640625" style="187" customWidth="1"/>
    <col min="13838" max="14082" width="9.33203125" style="187"/>
    <col min="14083" max="14083" width="6.6640625" style="187" customWidth="1"/>
    <col min="14084" max="14084" width="24.6640625" style="187" customWidth="1"/>
    <col min="14085" max="14085" width="13" style="187" customWidth="1"/>
    <col min="14086" max="14087" width="15.5" style="187" customWidth="1"/>
    <col min="14088" max="14088" width="11.5" style="187" customWidth="1"/>
    <col min="14089" max="14089" width="13" style="187" customWidth="1"/>
    <col min="14090" max="14091" width="14" style="187" customWidth="1"/>
    <col min="14092" max="14092" width="13.33203125" style="187" customWidth="1"/>
    <col min="14093" max="14093" width="14.6640625" style="187" customWidth="1"/>
    <col min="14094" max="14338" width="9.33203125" style="187"/>
    <col min="14339" max="14339" width="6.6640625" style="187" customWidth="1"/>
    <col min="14340" max="14340" width="24.6640625" style="187" customWidth="1"/>
    <col min="14341" max="14341" width="13" style="187" customWidth="1"/>
    <col min="14342" max="14343" width="15.5" style="187" customWidth="1"/>
    <col min="14344" max="14344" width="11.5" style="187" customWidth="1"/>
    <col min="14345" max="14345" width="13" style="187" customWidth="1"/>
    <col min="14346" max="14347" width="14" style="187" customWidth="1"/>
    <col min="14348" max="14348" width="13.33203125" style="187" customWidth="1"/>
    <col min="14349" max="14349" width="14.6640625" style="187" customWidth="1"/>
    <col min="14350" max="14594" width="9.33203125" style="187"/>
    <col min="14595" max="14595" width="6.6640625" style="187" customWidth="1"/>
    <col min="14596" max="14596" width="24.6640625" style="187" customWidth="1"/>
    <col min="14597" max="14597" width="13" style="187" customWidth="1"/>
    <col min="14598" max="14599" width="15.5" style="187" customWidth="1"/>
    <col min="14600" max="14600" width="11.5" style="187" customWidth="1"/>
    <col min="14601" max="14601" width="13" style="187" customWidth="1"/>
    <col min="14602" max="14603" width="14" style="187" customWidth="1"/>
    <col min="14604" max="14604" width="13.33203125" style="187" customWidth="1"/>
    <col min="14605" max="14605" width="14.6640625" style="187" customWidth="1"/>
    <col min="14606" max="14850" width="9.33203125" style="187"/>
    <col min="14851" max="14851" width="6.6640625" style="187" customWidth="1"/>
    <col min="14852" max="14852" width="24.6640625" style="187" customWidth="1"/>
    <col min="14853" max="14853" width="13" style="187" customWidth="1"/>
    <col min="14854" max="14855" width="15.5" style="187" customWidth="1"/>
    <col min="14856" max="14856" width="11.5" style="187" customWidth="1"/>
    <col min="14857" max="14857" width="13" style="187" customWidth="1"/>
    <col min="14858" max="14859" width="14" style="187" customWidth="1"/>
    <col min="14860" max="14860" width="13.33203125" style="187" customWidth="1"/>
    <col min="14861" max="14861" width="14.6640625" style="187" customWidth="1"/>
    <col min="14862" max="15106" width="9.33203125" style="187"/>
    <col min="15107" max="15107" width="6.6640625" style="187" customWidth="1"/>
    <col min="15108" max="15108" width="24.6640625" style="187" customWidth="1"/>
    <col min="15109" max="15109" width="13" style="187" customWidth="1"/>
    <col min="15110" max="15111" width="15.5" style="187" customWidth="1"/>
    <col min="15112" max="15112" width="11.5" style="187" customWidth="1"/>
    <col min="15113" max="15113" width="13" style="187" customWidth="1"/>
    <col min="15114" max="15115" width="14" style="187" customWidth="1"/>
    <col min="15116" max="15116" width="13.33203125" style="187" customWidth="1"/>
    <col min="15117" max="15117" width="14.6640625" style="187" customWidth="1"/>
    <col min="15118" max="15362" width="9.33203125" style="187"/>
    <col min="15363" max="15363" width="6.6640625" style="187" customWidth="1"/>
    <col min="15364" max="15364" width="24.6640625" style="187" customWidth="1"/>
    <col min="15365" max="15365" width="13" style="187" customWidth="1"/>
    <col min="15366" max="15367" width="15.5" style="187" customWidth="1"/>
    <col min="15368" max="15368" width="11.5" style="187" customWidth="1"/>
    <col min="15369" max="15369" width="13" style="187" customWidth="1"/>
    <col min="15370" max="15371" width="14" style="187" customWidth="1"/>
    <col min="15372" max="15372" width="13.33203125" style="187" customWidth="1"/>
    <col min="15373" max="15373" width="14.6640625" style="187" customWidth="1"/>
    <col min="15374" max="15618" width="9.33203125" style="187"/>
    <col min="15619" max="15619" width="6.6640625" style="187" customWidth="1"/>
    <col min="15620" max="15620" width="24.6640625" style="187" customWidth="1"/>
    <col min="15621" max="15621" width="13" style="187" customWidth="1"/>
    <col min="15622" max="15623" width="15.5" style="187" customWidth="1"/>
    <col min="15624" max="15624" width="11.5" style="187" customWidth="1"/>
    <col min="15625" max="15625" width="13" style="187" customWidth="1"/>
    <col min="15626" max="15627" width="14" style="187" customWidth="1"/>
    <col min="15628" max="15628" width="13.33203125" style="187" customWidth="1"/>
    <col min="15629" max="15629" width="14.6640625" style="187" customWidth="1"/>
    <col min="15630" max="15874" width="9.33203125" style="187"/>
    <col min="15875" max="15875" width="6.6640625" style="187" customWidth="1"/>
    <col min="15876" max="15876" width="24.6640625" style="187" customWidth="1"/>
    <col min="15877" max="15877" width="13" style="187" customWidth="1"/>
    <col min="15878" max="15879" width="15.5" style="187" customWidth="1"/>
    <col min="15880" max="15880" width="11.5" style="187" customWidth="1"/>
    <col min="15881" max="15881" width="13" style="187" customWidth="1"/>
    <col min="15882" max="15883" width="14" style="187" customWidth="1"/>
    <col min="15884" max="15884" width="13.33203125" style="187" customWidth="1"/>
    <col min="15885" max="15885" width="14.6640625" style="187" customWidth="1"/>
    <col min="15886" max="16130" width="9.33203125" style="187"/>
    <col min="16131" max="16131" width="6.6640625" style="187" customWidth="1"/>
    <col min="16132" max="16132" width="24.6640625" style="187" customWidth="1"/>
    <col min="16133" max="16133" width="13" style="187" customWidth="1"/>
    <col min="16134" max="16135" width="15.5" style="187" customWidth="1"/>
    <col min="16136" max="16136" width="11.5" style="187" customWidth="1"/>
    <col min="16137" max="16137" width="13" style="187" customWidth="1"/>
    <col min="16138" max="16139" width="14" style="187" customWidth="1"/>
    <col min="16140" max="16140" width="13.33203125" style="187" customWidth="1"/>
    <col min="16141" max="16141" width="14.6640625" style="187" customWidth="1"/>
    <col min="16142" max="16384" width="9.33203125" style="187"/>
  </cols>
  <sheetData>
    <row r="1" spans="1:13" ht="42" customHeight="1" x14ac:dyDescent="0.2">
      <c r="A1" s="1162" t="s">
        <v>736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</row>
    <row r="2" spans="1:13" ht="15" x14ac:dyDescent="0.2">
      <c r="A2" s="188"/>
      <c r="B2" s="193"/>
      <c r="C2" s="193"/>
      <c r="D2" s="194"/>
      <c r="E2" s="194"/>
      <c r="F2" s="190"/>
      <c r="G2" s="190"/>
      <c r="H2" s="190"/>
      <c r="I2" s="190"/>
      <c r="J2" s="190"/>
      <c r="K2" s="190"/>
      <c r="M2" s="195" t="s">
        <v>1</v>
      </c>
    </row>
    <row r="3" spans="1:13" s="202" customFormat="1" ht="69.75" customHeight="1" x14ac:dyDescent="0.2">
      <c r="A3" s="672" t="s">
        <v>365</v>
      </c>
      <c r="B3" s="673" t="s">
        <v>401</v>
      </c>
      <c r="C3" s="673" t="s">
        <v>402</v>
      </c>
      <c r="D3" s="673" t="s">
        <v>419</v>
      </c>
      <c r="E3" s="673" t="s">
        <v>609</v>
      </c>
      <c r="F3" s="673" t="s">
        <v>403</v>
      </c>
      <c r="G3" s="673" t="s">
        <v>103</v>
      </c>
      <c r="H3" s="673" t="s">
        <v>404</v>
      </c>
      <c r="I3" s="674" t="s">
        <v>405</v>
      </c>
      <c r="J3" s="674" t="s">
        <v>375</v>
      </c>
      <c r="K3" s="199" t="s">
        <v>406</v>
      </c>
      <c r="L3" s="775" t="s">
        <v>184</v>
      </c>
      <c r="M3" s="772" t="s">
        <v>407</v>
      </c>
    </row>
    <row r="4" spans="1:13" ht="52.5" customHeight="1" x14ac:dyDescent="0.2">
      <c r="A4" s="760" t="s">
        <v>9</v>
      </c>
      <c r="B4" s="931" t="s">
        <v>408</v>
      </c>
      <c r="C4" s="928" t="s">
        <v>409</v>
      </c>
      <c r="D4" s="776"/>
      <c r="E4" s="776"/>
      <c r="F4" s="777"/>
      <c r="G4" s="777"/>
      <c r="H4" s="777"/>
      <c r="I4" s="778"/>
      <c r="J4" s="778"/>
      <c r="K4" s="777"/>
      <c r="L4" s="779"/>
      <c r="M4" s="780">
        <f>SUM(D4:L4)</f>
        <v>0</v>
      </c>
    </row>
    <row r="5" spans="1:13" ht="52.5" customHeight="1" x14ac:dyDescent="0.2">
      <c r="A5" s="932"/>
      <c r="B5" s="933" t="s">
        <v>780</v>
      </c>
      <c r="C5" s="934" t="s">
        <v>640</v>
      </c>
      <c r="D5" s="935"/>
      <c r="E5" s="935"/>
      <c r="F5" s="936"/>
      <c r="G5" s="936"/>
      <c r="H5" s="936"/>
      <c r="I5" s="937"/>
      <c r="J5" s="937"/>
      <c r="K5" s="936"/>
      <c r="L5" s="938"/>
      <c r="M5" s="939"/>
    </row>
    <row r="6" spans="1:13" ht="47.25" customHeight="1" x14ac:dyDescent="0.2">
      <c r="A6" s="675" t="s">
        <v>12</v>
      </c>
      <c r="B6" s="916" t="s">
        <v>618</v>
      </c>
      <c r="C6" s="922" t="s">
        <v>617</v>
      </c>
      <c r="D6" s="626"/>
      <c r="E6" s="626"/>
      <c r="F6" s="627"/>
      <c r="G6" s="627"/>
      <c r="H6" s="627"/>
      <c r="I6" s="628" t="e">
        <f>#REF!</f>
        <v>#REF!</v>
      </c>
      <c r="J6" s="628"/>
      <c r="K6" s="627"/>
      <c r="L6" s="781"/>
      <c r="M6" s="773" t="e">
        <f>SUM(D6:L6)</f>
        <v>#REF!</v>
      </c>
    </row>
    <row r="7" spans="1:13" ht="47.25" customHeight="1" x14ac:dyDescent="0.2">
      <c r="A7" s="675" t="s">
        <v>15</v>
      </c>
      <c r="B7" s="916" t="s">
        <v>620</v>
      </c>
      <c r="C7" s="922" t="s">
        <v>619</v>
      </c>
      <c r="D7" s="940" t="e">
        <f>#REF!</f>
        <v>#REF!</v>
      </c>
      <c r="E7" s="626"/>
      <c r="F7" s="627"/>
      <c r="G7" s="627"/>
      <c r="H7" s="627"/>
      <c r="I7" s="628"/>
      <c r="J7" s="628"/>
      <c r="K7" s="627"/>
      <c r="L7" s="781"/>
      <c r="M7" s="773" t="e">
        <f>SUM(D7:L7)</f>
        <v>#REF!</v>
      </c>
    </row>
    <row r="8" spans="1:13" ht="47.25" customHeight="1" x14ac:dyDescent="0.2">
      <c r="A8" s="675"/>
      <c r="B8" s="916"/>
      <c r="C8" s="922"/>
      <c r="D8" s="626"/>
      <c r="E8" s="626"/>
      <c r="F8" s="627"/>
      <c r="G8" s="627"/>
      <c r="H8" s="627"/>
      <c r="I8" s="628"/>
      <c r="J8" s="628"/>
      <c r="K8" s="627"/>
      <c r="L8" s="781"/>
      <c r="M8" s="773"/>
    </row>
    <row r="9" spans="1:13" ht="47.25" customHeight="1" x14ac:dyDescent="0.2">
      <c r="A9" s="675"/>
      <c r="B9" s="916"/>
      <c r="C9" s="922"/>
      <c r="D9" s="626"/>
      <c r="E9" s="626"/>
      <c r="F9" s="627"/>
      <c r="G9" s="627"/>
      <c r="H9" s="627"/>
      <c r="I9" s="628"/>
      <c r="J9" s="628"/>
      <c r="K9" s="627"/>
      <c r="L9" s="781"/>
      <c r="M9" s="773"/>
    </row>
    <row r="10" spans="1:13" ht="47.25" customHeight="1" x14ac:dyDescent="0.2">
      <c r="A10" s="675"/>
      <c r="B10" s="916"/>
      <c r="C10" s="922"/>
      <c r="D10" s="626"/>
      <c r="E10" s="626"/>
      <c r="F10" s="627"/>
      <c r="G10" s="627"/>
      <c r="H10" s="627"/>
      <c r="I10" s="628"/>
      <c r="J10" s="628"/>
      <c r="K10" s="627"/>
      <c r="L10" s="781"/>
      <c r="M10" s="773"/>
    </row>
    <row r="11" spans="1:13" ht="47.25" customHeight="1" x14ac:dyDescent="0.2">
      <c r="A11" s="675" t="s">
        <v>18</v>
      </c>
      <c r="B11" s="916" t="s">
        <v>612</v>
      </c>
      <c r="C11" s="922" t="s">
        <v>611</v>
      </c>
      <c r="D11" s="626"/>
      <c r="E11" s="626" t="e">
        <f>#REF!</f>
        <v>#REF!</v>
      </c>
      <c r="F11" s="627"/>
      <c r="G11" s="627"/>
      <c r="H11" s="627"/>
      <c r="I11" s="628"/>
      <c r="J11" s="628"/>
      <c r="K11" s="627"/>
      <c r="L11" s="781"/>
      <c r="M11" s="773" t="e">
        <f t="shared" ref="M11:M24" si="0">SUM(D11:L11)</f>
        <v>#REF!</v>
      </c>
    </row>
    <row r="12" spans="1:13" ht="47.25" customHeight="1" x14ac:dyDescent="0.2">
      <c r="A12" s="675" t="s">
        <v>21</v>
      </c>
      <c r="B12" s="916" t="s">
        <v>622</v>
      </c>
      <c r="C12" s="922" t="s">
        <v>621</v>
      </c>
      <c r="D12" s="626"/>
      <c r="E12" s="626"/>
      <c r="F12" s="627"/>
      <c r="G12" s="627"/>
      <c r="H12" s="627"/>
      <c r="I12" s="628"/>
      <c r="J12" s="628"/>
      <c r="K12" s="627"/>
      <c r="L12" s="781"/>
      <c r="M12" s="773">
        <f t="shared" si="0"/>
        <v>0</v>
      </c>
    </row>
    <row r="13" spans="1:13" ht="47.25" customHeight="1" x14ac:dyDescent="0.2">
      <c r="A13" s="675" t="s">
        <v>24</v>
      </c>
      <c r="B13" s="916" t="s">
        <v>630</v>
      </c>
      <c r="C13" s="922" t="s">
        <v>629</v>
      </c>
      <c r="D13" s="626"/>
      <c r="E13" s="626"/>
      <c r="F13" s="627" t="e">
        <f>#REF!</f>
        <v>#REF!</v>
      </c>
      <c r="G13" s="627"/>
      <c r="H13" s="627"/>
      <c r="I13" s="628"/>
      <c r="J13" s="628"/>
      <c r="K13" s="627"/>
      <c r="L13" s="781"/>
      <c r="M13" s="773" t="e">
        <f t="shared" si="0"/>
        <v>#REF!</v>
      </c>
    </row>
    <row r="14" spans="1:13" ht="47.25" customHeight="1" x14ac:dyDescent="0.2">
      <c r="A14" s="675" t="s">
        <v>27</v>
      </c>
      <c r="B14" s="916" t="s">
        <v>676</v>
      </c>
      <c r="C14" s="922" t="s">
        <v>643</v>
      </c>
      <c r="D14" s="626"/>
      <c r="E14" s="626"/>
      <c r="F14" s="627"/>
      <c r="G14" s="627"/>
      <c r="H14" s="627"/>
      <c r="I14" s="628"/>
      <c r="J14" s="628"/>
      <c r="K14" s="627"/>
      <c r="L14" s="781"/>
      <c r="M14" s="773">
        <f t="shared" si="0"/>
        <v>0</v>
      </c>
    </row>
    <row r="15" spans="1:13" ht="47.25" customHeight="1" x14ac:dyDescent="0.2">
      <c r="A15" s="675" t="s">
        <v>30</v>
      </c>
      <c r="B15" s="929" t="s">
        <v>681</v>
      </c>
      <c r="C15" s="922" t="s">
        <v>646</v>
      </c>
      <c r="D15" s="626"/>
      <c r="E15" s="626"/>
      <c r="F15" s="627"/>
      <c r="G15" s="627"/>
      <c r="H15" s="627"/>
      <c r="I15" s="628"/>
      <c r="J15" s="628"/>
      <c r="K15" s="627"/>
      <c r="L15" s="781"/>
      <c r="M15" s="773">
        <f t="shared" si="0"/>
        <v>0</v>
      </c>
    </row>
    <row r="16" spans="1:13" ht="47.25" customHeight="1" x14ac:dyDescent="0.2">
      <c r="A16" s="675" t="s">
        <v>33</v>
      </c>
      <c r="B16" s="929" t="s">
        <v>682</v>
      </c>
      <c r="C16" s="922" t="s">
        <v>647</v>
      </c>
      <c r="D16" s="626"/>
      <c r="E16" s="626"/>
      <c r="F16" s="627"/>
      <c r="G16" s="627"/>
      <c r="H16" s="627"/>
      <c r="I16" s="628"/>
      <c r="J16" s="628"/>
      <c r="K16" s="627"/>
      <c r="L16" s="781"/>
      <c r="M16" s="773">
        <f t="shared" si="0"/>
        <v>0</v>
      </c>
    </row>
    <row r="17" spans="1:13" ht="47.25" customHeight="1" x14ac:dyDescent="0.2">
      <c r="A17" s="675" t="s">
        <v>36</v>
      </c>
      <c r="B17" s="929" t="s">
        <v>683</v>
      </c>
      <c r="C17" s="922" t="s">
        <v>648</v>
      </c>
      <c r="D17" s="626"/>
      <c r="E17" s="626"/>
      <c r="F17" s="627"/>
      <c r="G17" s="627"/>
      <c r="H17" s="627"/>
      <c r="I17" s="628"/>
      <c r="J17" s="628"/>
      <c r="K17" s="627"/>
      <c r="L17" s="781"/>
      <c r="M17" s="773">
        <f t="shared" si="0"/>
        <v>0</v>
      </c>
    </row>
    <row r="18" spans="1:13" ht="47.25" customHeight="1" x14ac:dyDescent="0.2">
      <c r="A18" s="675" t="s">
        <v>38</v>
      </c>
      <c r="B18" s="929" t="s">
        <v>685</v>
      </c>
      <c r="C18" s="922" t="s">
        <v>650</v>
      </c>
      <c r="D18" s="626"/>
      <c r="E18" s="626"/>
      <c r="F18" s="627"/>
      <c r="G18" s="627"/>
      <c r="H18" s="627"/>
      <c r="I18" s="628"/>
      <c r="J18" s="628"/>
      <c r="K18" s="627"/>
      <c r="L18" s="781"/>
      <c r="M18" s="773">
        <f t="shared" si="0"/>
        <v>0</v>
      </c>
    </row>
    <row r="19" spans="1:13" ht="47.25" customHeight="1" x14ac:dyDescent="0.2">
      <c r="A19" s="675" t="s">
        <v>40</v>
      </c>
      <c r="B19" s="929" t="s">
        <v>628</v>
      </c>
      <c r="C19" s="922" t="s">
        <v>627</v>
      </c>
      <c r="D19" s="626"/>
      <c r="E19" s="626" t="e">
        <f>#REF!</f>
        <v>#REF!</v>
      </c>
      <c r="F19" s="627"/>
      <c r="G19" s="627"/>
      <c r="H19" s="627"/>
      <c r="I19" s="628"/>
      <c r="J19" s="628"/>
      <c r="K19" s="627"/>
      <c r="L19" s="781"/>
      <c r="M19" s="773" t="e">
        <f t="shared" si="0"/>
        <v>#REF!</v>
      </c>
    </row>
    <row r="20" spans="1:13" ht="47.25" customHeight="1" x14ac:dyDescent="0.2">
      <c r="A20" s="675" t="s">
        <v>42</v>
      </c>
      <c r="B20" s="929" t="s">
        <v>693</v>
      </c>
      <c r="C20" s="922" t="s">
        <v>694</v>
      </c>
      <c r="D20" s="626"/>
      <c r="E20" s="626"/>
      <c r="F20" s="627"/>
      <c r="G20" s="627"/>
      <c r="H20" s="627"/>
      <c r="I20" s="628"/>
      <c r="J20" s="628"/>
      <c r="K20" s="627"/>
      <c r="L20" s="781"/>
      <c r="M20" s="773">
        <f t="shared" si="0"/>
        <v>0</v>
      </c>
    </row>
    <row r="21" spans="1:13" ht="47.25" customHeight="1" x14ac:dyDescent="0.2">
      <c r="A21" s="675" t="s">
        <v>44</v>
      </c>
      <c r="B21" s="929" t="s">
        <v>704</v>
      </c>
      <c r="C21" s="922" t="s">
        <v>665</v>
      </c>
      <c r="D21" s="626"/>
      <c r="E21" s="626"/>
      <c r="F21" s="627"/>
      <c r="G21" s="627"/>
      <c r="H21" s="627"/>
      <c r="I21" s="628"/>
      <c r="J21" s="628"/>
      <c r="K21" s="627"/>
      <c r="L21" s="781"/>
      <c r="M21" s="773">
        <f t="shared" si="0"/>
        <v>0</v>
      </c>
    </row>
    <row r="22" spans="1:13" ht="47.25" customHeight="1" x14ac:dyDescent="0.2">
      <c r="A22" s="675" t="s">
        <v>46</v>
      </c>
      <c r="B22" s="916" t="s">
        <v>623</v>
      </c>
      <c r="C22" s="922" t="s">
        <v>624</v>
      </c>
      <c r="D22" s="626"/>
      <c r="E22" s="626" t="e">
        <f>#REF!</f>
        <v>#REF!</v>
      </c>
      <c r="F22" s="627"/>
      <c r="G22" s="627"/>
      <c r="H22" s="627"/>
      <c r="I22" s="628"/>
      <c r="J22" s="628"/>
      <c r="K22" s="627"/>
      <c r="L22" s="653"/>
      <c r="M22" s="773" t="e">
        <f t="shared" si="0"/>
        <v>#REF!</v>
      </c>
    </row>
    <row r="23" spans="1:13" ht="41.25" customHeight="1" x14ac:dyDescent="0.2">
      <c r="A23" s="675" t="s">
        <v>48</v>
      </c>
      <c r="B23" s="916" t="s">
        <v>632</v>
      </c>
      <c r="C23" s="922" t="s">
        <v>631</v>
      </c>
      <c r="D23" s="626"/>
      <c r="E23" s="626"/>
      <c r="F23" s="627"/>
      <c r="G23" s="627" t="e">
        <f>#REF!</f>
        <v>#REF!</v>
      </c>
      <c r="H23" s="627"/>
      <c r="I23" s="628"/>
      <c r="J23" s="628"/>
      <c r="K23" s="627"/>
      <c r="L23" s="653"/>
      <c r="M23" s="773" t="e">
        <f t="shared" si="0"/>
        <v>#REF!</v>
      </c>
    </row>
    <row r="24" spans="1:13" ht="41.25" customHeight="1" x14ac:dyDescent="0.2">
      <c r="A24" s="675" t="s">
        <v>50</v>
      </c>
      <c r="B24" s="920" t="s">
        <v>626</v>
      </c>
      <c r="C24" s="926" t="s">
        <v>625</v>
      </c>
      <c r="D24" s="631"/>
      <c r="E24" s="631" t="e">
        <f>#REF!</f>
        <v>#REF!</v>
      </c>
      <c r="F24" s="632"/>
      <c r="G24" s="632"/>
      <c r="H24" s="632"/>
      <c r="I24" s="633"/>
      <c r="J24" s="633"/>
      <c r="K24" s="632"/>
      <c r="L24" s="782"/>
      <c r="M24" s="773" t="e">
        <f t="shared" si="0"/>
        <v>#REF!</v>
      </c>
    </row>
    <row r="25" spans="1:13" s="209" customFormat="1" ht="33" customHeight="1" x14ac:dyDescent="0.25">
      <c r="A25" s="204" t="s">
        <v>53</v>
      </c>
      <c r="B25" s="206" t="s">
        <v>366</v>
      </c>
      <c r="C25" s="676"/>
      <c r="D25" s="770" t="e">
        <f>SUM(D4:D24)</f>
        <v>#REF!</v>
      </c>
      <c r="E25" s="770" t="e">
        <f t="shared" ref="E25:L25" si="1">SUM(E4:E24)</f>
        <v>#REF!</v>
      </c>
      <c r="F25" s="770" t="e">
        <f t="shared" si="1"/>
        <v>#REF!</v>
      </c>
      <c r="G25" s="770" t="e">
        <f t="shared" si="1"/>
        <v>#REF!</v>
      </c>
      <c r="H25" s="770">
        <f t="shared" si="1"/>
        <v>0</v>
      </c>
      <c r="I25" s="770" t="e">
        <f t="shared" si="1"/>
        <v>#REF!</v>
      </c>
      <c r="J25" s="770">
        <f t="shared" si="1"/>
        <v>0</v>
      </c>
      <c r="K25" s="770">
        <f t="shared" si="1"/>
        <v>0</v>
      </c>
      <c r="L25" s="771">
        <f t="shared" si="1"/>
        <v>0</v>
      </c>
      <c r="M25" s="774" t="e">
        <f>SUM(M4:M24)</f>
        <v>#REF!</v>
      </c>
    </row>
    <row r="26" spans="1:13" ht="21" customHeight="1" x14ac:dyDescent="0.2">
      <c r="A26" s="210"/>
      <c r="B26" s="211"/>
      <c r="C26" s="211"/>
      <c r="D26" s="212"/>
      <c r="E26" s="212"/>
      <c r="F26" s="213"/>
      <c r="G26" s="213"/>
      <c r="H26" s="212"/>
      <c r="I26" s="212"/>
      <c r="J26" s="212"/>
      <c r="K26" s="214"/>
    </row>
    <row r="27" spans="1:13" ht="42" customHeight="1" x14ac:dyDescent="0.2">
      <c r="A27" s="210"/>
      <c r="B27" s="215"/>
      <c r="C27" s="216"/>
      <c r="D27" s="217"/>
      <c r="E27" s="217"/>
      <c r="F27" s="213"/>
      <c r="G27" s="213"/>
      <c r="H27" s="213"/>
      <c r="I27" s="212"/>
      <c r="J27" s="212"/>
      <c r="K27" s="212"/>
    </row>
    <row r="28" spans="1:13" ht="42" customHeight="1" x14ac:dyDescent="0.2">
      <c r="A28" s="218"/>
      <c r="B28" s="219"/>
      <c r="C28" s="220"/>
      <c r="D28" s="221"/>
      <c r="E28" s="221"/>
      <c r="F28" s="191"/>
      <c r="G28" s="191"/>
      <c r="H28" s="191"/>
      <c r="I28" s="192"/>
      <c r="J28" s="192"/>
      <c r="K28" s="192"/>
    </row>
    <row r="29" spans="1:13" ht="15" x14ac:dyDescent="0.2">
      <c r="A29" s="188"/>
      <c r="B29" s="189"/>
      <c r="C29" s="189"/>
      <c r="D29" s="190"/>
      <c r="E29" s="190"/>
      <c r="F29" s="190"/>
      <c r="G29" s="190"/>
      <c r="H29" s="190"/>
      <c r="I29" s="190"/>
      <c r="J29" s="190"/>
      <c r="K29" s="190"/>
    </row>
    <row r="30" spans="1:13" s="223" customFormat="1" ht="15" x14ac:dyDescent="0.2">
      <c r="A30" s="188"/>
      <c r="B30" s="189"/>
      <c r="C30" s="189"/>
      <c r="D30" s="190"/>
      <c r="E30" s="190"/>
      <c r="F30" s="191"/>
      <c r="G30" s="191"/>
      <c r="H30" s="222"/>
      <c r="I30" s="222"/>
      <c r="J30" s="222"/>
      <c r="K30" s="222"/>
    </row>
  </sheetData>
  <sortState ref="B4:M24">
    <sortCondition ref="C4:C24"/>
  </sortState>
  <mergeCells count="1">
    <mergeCell ref="A1:M1"/>
  </mergeCells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……/2017. (……) önkormányzati rendelethez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4"/>
  <sheetViews>
    <sheetView workbookViewId="0">
      <selection sqref="A1:M1"/>
    </sheetView>
  </sheetViews>
  <sheetFormatPr defaultRowHeight="12.75" x14ac:dyDescent="0.2"/>
  <cols>
    <col min="1" max="1" width="6" style="655" customWidth="1"/>
    <col min="2" max="2" width="22.33203125" style="657" customWidth="1"/>
    <col min="3" max="3" width="12.5" style="667" customWidth="1"/>
    <col min="4" max="4" width="12.6640625" style="656" customWidth="1"/>
    <col min="5" max="5" width="14.33203125" style="656" customWidth="1"/>
    <col min="6" max="6" width="14.5" style="656" customWidth="1"/>
    <col min="7" max="7" width="13.33203125" style="656" customWidth="1"/>
    <col min="8" max="9" width="14" style="656" customWidth="1"/>
    <col min="10" max="10" width="13.33203125" style="667" customWidth="1"/>
    <col min="11" max="11" width="12.33203125" style="667" customWidth="1"/>
    <col min="12" max="12" width="14.33203125" style="667" customWidth="1"/>
    <col min="13" max="13" width="15.1640625" style="667" customWidth="1"/>
    <col min="14" max="256" width="9.33203125" style="667"/>
    <col min="257" max="257" width="5.83203125" style="667" customWidth="1"/>
    <col min="258" max="258" width="22.33203125" style="667" customWidth="1"/>
    <col min="259" max="259" width="13" style="667" customWidth="1"/>
    <col min="260" max="260" width="11" style="667" customWidth="1"/>
    <col min="261" max="261" width="15.5" style="667" customWidth="1"/>
    <col min="262" max="262" width="11.1640625" style="667" customWidth="1"/>
    <col min="263" max="263" width="13.33203125" style="667" customWidth="1"/>
    <col min="264" max="265" width="14" style="667" customWidth="1"/>
    <col min="266" max="266" width="13.33203125" style="667" customWidth="1"/>
    <col min="267" max="267" width="12.33203125" style="667" customWidth="1"/>
    <col min="268" max="268" width="14.33203125" style="667" customWidth="1"/>
    <col min="269" max="269" width="15.1640625" style="667" customWidth="1"/>
    <col min="270" max="512" width="9.33203125" style="667"/>
    <col min="513" max="513" width="5.83203125" style="667" customWidth="1"/>
    <col min="514" max="514" width="22.33203125" style="667" customWidth="1"/>
    <col min="515" max="515" width="13" style="667" customWidth="1"/>
    <col min="516" max="516" width="11" style="667" customWidth="1"/>
    <col min="517" max="517" width="15.5" style="667" customWidth="1"/>
    <col min="518" max="518" width="11.1640625" style="667" customWidth="1"/>
    <col min="519" max="519" width="13.33203125" style="667" customWidth="1"/>
    <col min="520" max="521" width="14" style="667" customWidth="1"/>
    <col min="522" max="522" width="13.33203125" style="667" customWidth="1"/>
    <col min="523" max="523" width="12.33203125" style="667" customWidth="1"/>
    <col min="524" max="524" width="14.33203125" style="667" customWidth="1"/>
    <col min="525" max="525" width="15.1640625" style="667" customWidth="1"/>
    <col min="526" max="768" width="9.33203125" style="667"/>
    <col min="769" max="769" width="5.83203125" style="667" customWidth="1"/>
    <col min="770" max="770" width="22.33203125" style="667" customWidth="1"/>
    <col min="771" max="771" width="13" style="667" customWidth="1"/>
    <col min="772" max="772" width="11" style="667" customWidth="1"/>
    <col min="773" max="773" width="15.5" style="667" customWidth="1"/>
    <col min="774" max="774" width="11.1640625" style="667" customWidth="1"/>
    <col min="775" max="775" width="13.33203125" style="667" customWidth="1"/>
    <col min="776" max="777" width="14" style="667" customWidth="1"/>
    <col min="778" max="778" width="13.33203125" style="667" customWidth="1"/>
    <col min="779" max="779" width="12.33203125" style="667" customWidth="1"/>
    <col min="780" max="780" width="14.33203125" style="667" customWidth="1"/>
    <col min="781" max="781" width="15.1640625" style="667" customWidth="1"/>
    <col min="782" max="1024" width="9.33203125" style="667"/>
    <col min="1025" max="1025" width="5.83203125" style="667" customWidth="1"/>
    <col min="1026" max="1026" width="22.33203125" style="667" customWidth="1"/>
    <col min="1027" max="1027" width="13" style="667" customWidth="1"/>
    <col min="1028" max="1028" width="11" style="667" customWidth="1"/>
    <col min="1029" max="1029" width="15.5" style="667" customWidth="1"/>
    <col min="1030" max="1030" width="11.1640625" style="667" customWidth="1"/>
    <col min="1031" max="1031" width="13.33203125" style="667" customWidth="1"/>
    <col min="1032" max="1033" width="14" style="667" customWidth="1"/>
    <col min="1034" max="1034" width="13.33203125" style="667" customWidth="1"/>
    <col min="1035" max="1035" width="12.33203125" style="667" customWidth="1"/>
    <col min="1036" max="1036" width="14.33203125" style="667" customWidth="1"/>
    <col min="1037" max="1037" width="15.1640625" style="667" customWidth="1"/>
    <col min="1038" max="1280" width="9.33203125" style="667"/>
    <col min="1281" max="1281" width="5.83203125" style="667" customWidth="1"/>
    <col min="1282" max="1282" width="22.33203125" style="667" customWidth="1"/>
    <col min="1283" max="1283" width="13" style="667" customWidth="1"/>
    <col min="1284" max="1284" width="11" style="667" customWidth="1"/>
    <col min="1285" max="1285" width="15.5" style="667" customWidth="1"/>
    <col min="1286" max="1286" width="11.1640625" style="667" customWidth="1"/>
    <col min="1287" max="1287" width="13.33203125" style="667" customWidth="1"/>
    <col min="1288" max="1289" width="14" style="667" customWidth="1"/>
    <col min="1290" max="1290" width="13.33203125" style="667" customWidth="1"/>
    <col min="1291" max="1291" width="12.33203125" style="667" customWidth="1"/>
    <col min="1292" max="1292" width="14.33203125" style="667" customWidth="1"/>
    <col min="1293" max="1293" width="15.1640625" style="667" customWidth="1"/>
    <col min="1294" max="1536" width="9.33203125" style="667"/>
    <col min="1537" max="1537" width="5.83203125" style="667" customWidth="1"/>
    <col min="1538" max="1538" width="22.33203125" style="667" customWidth="1"/>
    <col min="1539" max="1539" width="13" style="667" customWidth="1"/>
    <col min="1540" max="1540" width="11" style="667" customWidth="1"/>
    <col min="1541" max="1541" width="15.5" style="667" customWidth="1"/>
    <col min="1542" max="1542" width="11.1640625" style="667" customWidth="1"/>
    <col min="1543" max="1543" width="13.33203125" style="667" customWidth="1"/>
    <col min="1544" max="1545" width="14" style="667" customWidth="1"/>
    <col min="1546" max="1546" width="13.33203125" style="667" customWidth="1"/>
    <col min="1547" max="1547" width="12.33203125" style="667" customWidth="1"/>
    <col min="1548" max="1548" width="14.33203125" style="667" customWidth="1"/>
    <col min="1549" max="1549" width="15.1640625" style="667" customWidth="1"/>
    <col min="1550" max="1792" width="9.33203125" style="667"/>
    <col min="1793" max="1793" width="5.83203125" style="667" customWidth="1"/>
    <col min="1794" max="1794" width="22.33203125" style="667" customWidth="1"/>
    <col min="1795" max="1795" width="13" style="667" customWidth="1"/>
    <col min="1796" max="1796" width="11" style="667" customWidth="1"/>
    <col min="1797" max="1797" width="15.5" style="667" customWidth="1"/>
    <col min="1798" max="1798" width="11.1640625" style="667" customWidth="1"/>
    <col min="1799" max="1799" width="13.33203125" style="667" customWidth="1"/>
    <col min="1800" max="1801" width="14" style="667" customWidth="1"/>
    <col min="1802" max="1802" width="13.33203125" style="667" customWidth="1"/>
    <col min="1803" max="1803" width="12.33203125" style="667" customWidth="1"/>
    <col min="1804" max="1804" width="14.33203125" style="667" customWidth="1"/>
    <col min="1805" max="1805" width="15.1640625" style="667" customWidth="1"/>
    <col min="1806" max="2048" width="9.33203125" style="667"/>
    <col min="2049" max="2049" width="5.83203125" style="667" customWidth="1"/>
    <col min="2050" max="2050" width="22.33203125" style="667" customWidth="1"/>
    <col min="2051" max="2051" width="13" style="667" customWidth="1"/>
    <col min="2052" max="2052" width="11" style="667" customWidth="1"/>
    <col min="2053" max="2053" width="15.5" style="667" customWidth="1"/>
    <col min="2054" max="2054" width="11.1640625" style="667" customWidth="1"/>
    <col min="2055" max="2055" width="13.33203125" style="667" customWidth="1"/>
    <col min="2056" max="2057" width="14" style="667" customWidth="1"/>
    <col min="2058" max="2058" width="13.33203125" style="667" customWidth="1"/>
    <col min="2059" max="2059" width="12.33203125" style="667" customWidth="1"/>
    <col min="2060" max="2060" width="14.33203125" style="667" customWidth="1"/>
    <col min="2061" max="2061" width="15.1640625" style="667" customWidth="1"/>
    <col min="2062" max="2304" width="9.33203125" style="667"/>
    <col min="2305" max="2305" width="5.83203125" style="667" customWidth="1"/>
    <col min="2306" max="2306" width="22.33203125" style="667" customWidth="1"/>
    <col min="2307" max="2307" width="13" style="667" customWidth="1"/>
    <col min="2308" max="2308" width="11" style="667" customWidth="1"/>
    <col min="2309" max="2309" width="15.5" style="667" customWidth="1"/>
    <col min="2310" max="2310" width="11.1640625" style="667" customWidth="1"/>
    <col min="2311" max="2311" width="13.33203125" style="667" customWidth="1"/>
    <col min="2312" max="2313" width="14" style="667" customWidth="1"/>
    <col min="2314" max="2314" width="13.33203125" style="667" customWidth="1"/>
    <col min="2315" max="2315" width="12.33203125" style="667" customWidth="1"/>
    <col min="2316" max="2316" width="14.33203125" style="667" customWidth="1"/>
    <col min="2317" max="2317" width="15.1640625" style="667" customWidth="1"/>
    <col min="2318" max="2560" width="9.33203125" style="667"/>
    <col min="2561" max="2561" width="5.83203125" style="667" customWidth="1"/>
    <col min="2562" max="2562" width="22.33203125" style="667" customWidth="1"/>
    <col min="2563" max="2563" width="13" style="667" customWidth="1"/>
    <col min="2564" max="2564" width="11" style="667" customWidth="1"/>
    <col min="2565" max="2565" width="15.5" style="667" customWidth="1"/>
    <col min="2566" max="2566" width="11.1640625" style="667" customWidth="1"/>
    <col min="2567" max="2567" width="13.33203125" style="667" customWidth="1"/>
    <col min="2568" max="2569" width="14" style="667" customWidth="1"/>
    <col min="2570" max="2570" width="13.33203125" style="667" customWidth="1"/>
    <col min="2571" max="2571" width="12.33203125" style="667" customWidth="1"/>
    <col min="2572" max="2572" width="14.33203125" style="667" customWidth="1"/>
    <col min="2573" max="2573" width="15.1640625" style="667" customWidth="1"/>
    <col min="2574" max="2816" width="9.33203125" style="667"/>
    <col min="2817" max="2817" width="5.83203125" style="667" customWidth="1"/>
    <col min="2818" max="2818" width="22.33203125" style="667" customWidth="1"/>
    <col min="2819" max="2819" width="13" style="667" customWidth="1"/>
    <col min="2820" max="2820" width="11" style="667" customWidth="1"/>
    <col min="2821" max="2821" width="15.5" style="667" customWidth="1"/>
    <col min="2822" max="2822" width="11.1640625" style="667" customWidth="1"/>
    <col min="2823" max="2823" width="13.33203125" style="667" customWidth="1"/>
    <col min="2824" max="2825" width="14" style="667" customWidth="1"/>
    <col min="2826" max="2826" width="13.33203125" style="667" customWidth="1"/>
    <col min="2827" max="2827" width="12.33203125" style="667" customWidth="1"/>
    <col min="2828" max="2828" width="14.33203125" style="667" customWidth="1"/>
    <col min="2829" max="2829" width="15.1640625" style="667" customWidth="1"/>
    <col min="2830" max="3072" width="9.33203125" style="667"/>
    <col min="3073" max="3073" width="5.83203125" style="667" customWidth="1"/>
    <col min="3074" max="3074" width="22.33203125" style="667" customWidth="1"/>
    <col min="3075" max="3075" width="13" style="667" customWidth="1"/>
    <col min="3076" max="3076" width="11" style="667" customWidth="1"/>
    <col min="3077" max="3077" width="15.5" style="667" customWidth="1"/>
    <col min="3078" max="3078" width="11.1640625" style="667" customWidth="1"/>
    <col min="3079" max="3079" width="13.33203125" style="667" customWidth="1"/>
    <col min="3080" max="3081" width="14" style="667" customWidth="1"/>
    <col min="3082" max="3082" width="13.33203125" style="667" customWidth="1"/>
    <col min="3083" max="3083" width="12.33203125" style="667" customWidth="1"/>
    <col min="3084" max="3084" width="14.33203125" style="667" customWidth="1"/>
    <col min="3085" max="3085" width="15.1640625" style="667" customWidth="1"/>
    <col min="3086" max="3328" width="9.33203125" style="667"/>
    <col min="3329" max="3329" width="5.83203125" style="667" customWidth="1"/>
    <col min="3330" max="3330" width="22.33203125" style="667" customWidth="1"/>
    <col min="3331" max="3331" width="13" style="667" customWidth="1"/>
    <col min="3332" max="3332" width="11" style="667" customWidth="1"/>
    <col min="3333" max="3333" width="15.5" style="667" customWidth="1"/>
    <col min="3334" max="3334" width="11.1640625" style="667" customWidth="1"/>
    <col min="3335" max="3335" width="13.33203125" style="667" customWidth="1"/>
    <col min="3336" max="3337" width="14" style="667" customWidth="1"/>
    <col min="3338" max="3338" width="13.33203125" style="667" customWidth="1"/>
    <col min="3339" max="3339" width="12.33203125" style="667" customWidth="1"/>
    <col min="3340" max="3340" width="14.33203125" style="667" customWidth="1"/>
    <col min="3341" max="3341" width="15.1640625" style="667" customWidth="1"/>
    <col min="3342" max="3584" width="9.33203125" style="667"/>
    <col min="3585" max="3585" width="5.83203125" style="667" customWidth="1"/>
    <col min="3586" max="3586" width="22.33203125" style="667" customWidth="1"/>
    <col min="3587" max="3587" width="13" style="667" customWidth="1"/>
    <col min="3588" max="3588" width="11" style="667" customWidth="1"/>
    <col min="3589" max="3589" width="15.5" style="667" customWidth="1"/>
    <col min="3590" max="3590" width="11.1640625" style="667" customWidth="1"/>
    <col min="3591" max="3591" width="13.33203125" style="667" customWidth="1"/>
    <col min="3592" max="3593" width="14" style="667" customWidth="1"/>
    <col min="3594" max="3594" width="13.33203125" style="667" customWidth="1"/>
    <col min="3595" max="3595" width="12.33203125" style="667" customWidth="1"/>
    <col min="3596" max="3596" width="14.33203125" style="667" customWidth="1"/>
    <col min="3597" max="3597" width="15.1640625" style="667" customWidth="1"/>
    <col min="3598" max="3840" width="9.33203125" style="667"/>
    <col min="3841" max="3841" width="5.83203125" style="667" customWidth="1"/>
    <col min="3842" max="3842" width="22.33203125" style="667" customWidth="1"/>
    <col min="3843" max="3843" width="13" style="667" customWidth="1"/>
    <col min="3844" max="3844" width="11" style="667" customWidth="1"/>
    <col min="3845" max="3845" width="15.5" style="667" customWidth="1"/>
    <col min="3846" max="3846" width="11.1640625" style="667" customWidth="1"/>
    <col min="3847" max="3847" width="13.33203125" style="667" customWidth="1"/>
    <col min="3848" max="3849" width="14" style="667" customWidth="1"/>
    <col min="3850" max="3850" width="13.33203125" style="667" customWidth="1"/>
    <col min="3851" max="3851" width="12.33203125" style="667" customWidth="1"/>
    <col min="3852" max="3852" width="14.33203125" style="667" customWidth="1"/>
    <col min="3853" max="3853" width="15.1640625" style="667" customWidth="1"/>
    <col min="3854" max="4096" width="9.33203125" style="667"/>
    <col min="4097" max="4097" width="5.83203125" style="667" customWidth="1"/>
    <col min="4098" max="4098" width="22.33203125" style="667" customWidth="1"/>
    <col min="4099" max="4099" width="13" style="667" customWidth="1"/>
    <col min="4100" max="4100" width="11" style="667" customWidth="1"/>
    <col min="4101" max="4101" width="15.5" style="667" customWidth="1"/>
    <col min="4102" max="4102" width="11.1640625" style="667" customWidth="1"/>
    <col min="4103" max="4103" width="13.33203125" style="667" customWidth="1"/>
    <col min="4104" max="4105" width="14" style="667" customWidth="1"/>
    <col min="4106" max="4106" width="13.33203125" style="667" customWidth="1"/>
    <col min="4107" max="4107" width="12.33203125" style="667" customWidth="1"/>
    <col min="4108" max="4108" width="14.33203125" style="667" customWidth="1"/>
    <col min="4109" max="4109" width="15.1640625" style="667" customWidth="1"/>
    <col min="4110" max="4352" width="9.33203125" style="667"/>
    <col min="4353" max="4353" width="5.83203125" style="667" customWidth="1"/>
    <col min="4354" max="4354" width="22.33203125" style="667" customWidth="1"/>
    <col min="4355" max="4355" width="13" style="667" customWidth="1"/>
    <col min="4356" max="4356" width="11" style="667" customWidth="1"/>
    <col min="4357" max="4357" width="15.5" style="667" customWidth="1"/>
    <col min="4358" max="4358" width="11.1640625" style="667" customWidth="1"/>
    <col min="4359" max="4359" width="13.33203125" style="667" customWidth="1"/>
    <col min="4360" max="4361" width="14" style="667" customWidth="1"/>
    <col min="4362" max="4362" width="13.33203125" style="667" customWidth="1"/>
    <col min="4363" max="4363" width="12.33203125" style="667" customWidth="1"/>
    <col min="4364" max="4364" width="14.33203125" style="667" customWidth="1"/>
    <col min="4365" max="4365" width="15.1640625" style="667" customWidth="1"/>
    <col min="4366" max="4608" width="9.33203125" style="667"/>
    <col min="4609" max="4609" width="5.83203125" style="667" customWidth="1"/>
    <col min="4610" max="4610" width="22.33203125" style="667" customWidth="1"/>
    <col min="4611" max="4611" width="13" style="667" customWidth="1"/>
    <col min="4612" max="4612" width="11" style="667" customWidth="1"/>
    <col min="4613" max="4613" width="15.5" style="667" customWidth="1"/>
    <col min="4614" max="4614" width="11.1640625" style="667" customWidth="1"/>
    <col min="4615" max="4615" width="13.33203125" style="667" customWidth="1"/>
    <col min="4616" max="4617" width="14" style="667" customWidth="1"/>
    <col min="4618" max="4618" width="13.33203125" style="667" customWidth="1"/>
    <col min="4619" max="4619" width="12.33203125" style="667" customWidth="1"/>
    <col min="4620" max="4620" width="14.33203125" style="667" customWidth="1"/>
    <col min="4621" max="4621" width="15.1640625" style="667" customWidth="1"/>
    <col min="4622" max="4864" width="9.33203125" style="667"/>
    <col min="4865" max="4865" width="5.83203125" style="667" customWidth="1"/>
    <col min="4866" max="4866" width="22.33203125" style="667" customWidth="1"/>
    <col min="4867" max="4867" width="13" style="667" customWidth="1"/>
    <col min="4868" max="4868" width="11" style="667" customWidth="1"/>
    <col min="4869" max="4869" width="15.5" style="667" customWidth="1"/>
    <col min="4870" max="4870" width="11.1640625" style="667" customWidth="1"/>
    <col min="4871" max="4871" width="13.33203125" style="667" customWidth="1"/>
    <col min="4872" max="4873" width="14" style="667" customWidth="1"/>
    <col min="4874" max="4874" width="13.33203125" style="667" customWidth="1"/>
    <col min="4875" max="4875" width="12.33203125" style="667" customWidth="1"/>
    <col min="4876" max="4876" width="14.33203125" style="667" customWidth="1"/>
    <col min="4877" max="4877" width="15.1640625" style="667" customWidth="1"/>
    <col min="4878" max="5120" width="9.33203125" style="667"/>
    <col min="5121" max="5121" width="5.83203125" style="667" customWidth="1"/>
    <col min="5122" max="5122" width="22.33203125" style="667" customWidth="1"/>
    <col min="5123" max="5123" width="13" style="667" customWidth="1"/>
    <col min="5124" max="5124" width="11" style="667" customWidth="1"/>
    <col min="5125" max="5125" width="15.5" style="667" customWidth="1"/>
    <col min="5126" max="5126" width="11.1640625" style="667" customWidth="1"/>
    <col min="5127" max="5127" width="13.33203125" style="667" customWidth="1"/>
    <col min="5128" max="5129" width="14" style="667" customWidth="1"/>
    <col min="5130" max="5130" width="13.33203125" style="667" customWidth="1"/>
    <col min="5131" max="5131" width="12.33203125" style="667" customWidth="1"/>
    <col min="5132" max="5132" width="14.33203125" style="667" customWidth="1"/>
    <col min="5133" max="5133" width="15.1640625" style="667" customWidth="1"/>
    <col min="5134" max="5376" width="9.33203125" style="667"/>
    <col min="5377" max="5377" width="5.83203125" style="667" customWidth="1"/>
    <col min="5378" max="5378" width="22.33203125" style="667" customWidth="1"/>
    <col min="5379" max="5379" width="13" style="667" customWidth="1"/>
    <col min="5380" max="5380" width="11" style="667" customWidth="1"/>
    <col min="5381" max="5381" width="15.5" style="667" customWidth="1"/>
    <col min="5382" max="5382" width="11.1640625" style="667" customWidth="1"/>
    <col min="5383" max="5383" width="13.33203125" style="667" customWidth="1"/>
    <col min="5384" max="5385" width="14" style="667" customWidth="1"/>
    <col min="5386" max="5386" width="13.33203125" style="667" customWidth="1"/>
    <col min="5387" max="5387" width="12.33203125" style="667" customWidth="1"/>
    <col min="5388" max="5388" width="14.33203125" style="667" customWidth="1"/>
    <col min="5389" max="5389" width="15.1640625" style="667" customWidth="1"/>
    <col min="5390" max="5632" width="9.33203125" style="667"/>
    <col min="5633" max="5633" width="5.83203125" style="667" customWidth="1"/>
    <col min="5634" max="5634" width="22.33203125" style="667" customWidth="1"/>
    <col min="5635" max="5635" width="13" style="667" customWidth="1"/>
    <col min="5636" max="5636" width="11" style="667" customWidth="1"/>
    <col min="5637" max="5637" width="15.5" style="667" customWidth="1"/>
    <col min="5638" max="5638" width="11.1640625" style="667" customWidth="1"/>
    <col min="5639" max="5639" width="13.33203125" style="667" customWidth="1"/>
    <col min="5640" max="5641" width="14" style="667" customWidth="1"/>
    <col min="5642" max="5642" width="13.33203125" style="667" customWidth="1"/>
    <col min="5643" max="5643" width="12.33203125" style="667" customWidth="1"/>
    <col min="5644" max="5644" width="14.33203125" style="667" customWidth="1"/>
    <col min="5645" max="5645" width="15.1640625" style="667" customWidth="1"/>
    <col min="5646" max="5888" width="9.33203125" style="667"/>
    <col min="5889" max="5889" width="5.83203125" style="667" customWidth="1"/>
    <col min="5890" max="5890" width="22.33203125" style="667" customWidth="1"/>
    <col min="5891" max="5891" width="13" style="667" customWidth="1"/>
    <col min="5892" max="5892" width="11" style="667" customWidth="1"/>
    <col min="5893" max="5893" width="15.5" style="667" customWidth="1"/>
    <col min="5894" max="5894" width="11.1640625" style="667" customWidth="1"/>
    <col min="5895" max="5895" width="13.33203125" style="667" customWidth="1"/>
    <col min="5896" max="5897" width="14" style="667" customWidth="1"/>
    <col min="5898" max="5898" width="13.33203125" style="667" customWidth="1"/>
    <col min="5899" max="5899" width="12.33203125" style="667" customWidth="1"/>
    <col min="5900" max="5900" width="14.33203125" style="667" customWidth="1"/>
    <col min="5901" max="5901" width="15.1640625" style="667" customWidth="1"/>
    <col min="5902" max="6144" width="9.33203125" style="667"/>
    <col min="6145" max="6145" width="5.83203125" style="667" customWidth="1"/>
    <col min="6146" max="6146" width="22.33203125" style="667" customWidth="1"/>
    <col min="6147" max="6147" width="13" style="667" customWidth="1"/>
    <col min="6148" max="6148" width="11" style="667" customWidth="1"/>
    <col min="6149" max="6149" width="15.5" style="667" customWidth="1"/>
    <col min="6150" max="6150" width="11.1640625" style="667" customWidth="1"/>
    <col min="6151" max="6151" width="13.33203125" style="667" customWidth="1"/>
    <col min="6152" max="6153" width="14" style="667" customWidth="1"/>
    <col min="6154" max="6154" width="13.33203125" style="667" customWidth="1"/>
    <col min="6155" max="6155" width="12.33203125" style="667" customWidth="1"/>
    <col min="6156" max="6156" width="14.33203125" style="667" customWidth="1"/>
    <col min="6157" max="6157" width="15.1640625" style="667" customWidth="1"/>
    <col min="6158" max="6400" width="9.33203125" style="667"/>
    <col min="6401" max="6401" width="5.83203125" style="667" customWidth="1"/>
    <col min="6402" max="6402" width="22.33203125" style="667" customWidth="1"/>
    <col min="6403" max="6403" width="13" style="667" customWidth="1"/>
    <col min="6404" max="6404" width="11" style="667" customWidth="1"/>
    <col min="6405" max="6405" width="15.5" style="667" customWidth="1"/>
    <col min="6406" max="6406" width="11.1640625" style="667" customWidth="1"/>
    <col min="6407" max="6407" width="13.33203125" style="667" customWidth="1"/>
    <col min="6408" max="6409" width="14" style="667" customWidth="1"/>
    <col min="6410" max="6410" width="13.33203125" style="667" customWidth="1"/>
    <col min="6411" max="6411" width="12.33203125" style="667" customWidth="1"/>
    <col min="6412" max="6412" width="14.33203125" style="667" customWidth="1"/>
    <col min="6413" max="6413" width="15.1640625" style="667" customWidth="1"/>
    <col min="6414" max="6656" width="9.33203125" style="667"/>
    <col min="6657" max="6657" width="5.83203125" style="667" customWidth="1"/>
    <col min="6658" max="6658" width="22.33203125" style="667" customWidth="1"/>
    <col min="6659" max="6659" width="13" style="667" customWidth="1"/>
    <col min="6660" max="6660" width="11" style="667" customWidth="1"/>
    <col min="6661" max="6661" width="15.5" style="667" customWidth="1"/>
    <col min="6662" max="6662" width="11.1640625" style="667" customWidth="1"/>
    <col min="6663" max="6663" width="13.33203125" style="667" customWidth="1"/>
    <col min="6664" max="6665" width="14" style="667" customWidth="1"/>
    <col min="6666" max="6666" width="13.33203125" style="667" customWidth="1"/>
    <col min="6667" max="6667" width="12.33203125" style="667" customWidth="1"/>
    <col min="6668" max="6668" width="14.33203125" style="667" customWidth="1"/>
    <col min="6669" max="6669" width="15.1640625" style="667" customWidth="1"/>
    <col min="6670" max="6912" width="9.33203125" style="667"/>
    <col min="6913" max="6913" width="5.83203125" style="667" customWidth="1"/>
    <col min="6914" max="6914" width="22.33203125" style="667" customWidth="1"/>
    <col min="6915" max="6915" width="13" style="667" customWidth="1"/>
    <col min="6916" max="6916" width="11" style="667" customWidth="1"/>
    <col min="6917" max="6917" width="15.5" style="667" customWidth="1"/>
    <col min="6918" max="6918" width="11.1640625" style="667" customWidth="1"/>
    <col min="6919" max="6919" width="13.33203125" style="667" customWidth="1"/>
    <col min="6920" max="6921" width="14" style="667" customWidth="1"/>
    <col min="6922" max="6922" width="13.33203125" style="667" customWidth="1"/>
    <col min="6923" max="6923" width="12.33203125" style="667" customWidth="1"/>
    <col min="6924" max="6924" width="14.33203125" style="667" customWidth="1"/>
    <col min="6925" max="6925" width="15.1640625" style="667" customWidth="1"/>
    <col min="6926" max="7168" width="9.33203125" style="667"/>
    <col min="7169" max="7169" width="5.83203125" style="667" customWidth="1"/>
    <col min="7170" max="7170" width="22.33203125" style="667" customWidth="1"/>
    <col min="7171" max="7171" width="13" style="667" customWidth="1"/>
    <col min="7172" max="7172" width="11" style="667" customWidth="1"/>
    <col min="7173" max="7173" width="15.5" style="667" customWidth="1"/>
    <col min="7174" max="7174" width="11.1640625" style="667" customWidth="1"/>
    <col min="7175" max="7175" width="13.33203125" style="667" customWidth="1"/>
    <col min="7176" max="7177" width="14" style="667" customWidth="1"/>
    <col min="7178" max="7178" width="13.33203125" style="667" customWidth="1"/>
    <col min="7179" max="7179" width="12.33203125" style="667" customWidth="1"/>
    <col min="7180" max="7180" width="14.33203125" style="667" customWidth="1"/>
    <col min="7181" max="7181" width="15.1640625" style="667" customWidth="1"/>
    <col min="7182" max="7424" width="9.33203125" style="667"/>
    <col min="7425" max="7425" width="5.83203125" style="667" customWidth="1"/>
    <col min="7426" max="7426" width="22.33203125" style="667" customWidth="1"/>
    <col min="7427" max="7427" width="13" style="667" customWidth="1"/>
    <col min="7428" max="7428" width="11" style="667" customWidth="1"/>
    <col min="7429" max="7429" width="15.5" style="667" customWidth="1"/>
    <col min="7430" max="7430" width="11.1640625" style="667" customWidth="1"/>
    <col min="7431" max="7431" width="13.33203125" style="667" customWidth="1"/>
    <col min="7432" max="7433" width="14" style="667" customWidth="1"/>
    <col min="7434" max="7434" width="13.33203125" style="667" customWidth="1"/>
    <col min="7435" max="7435" width="12.33203125" style="667" customWidth="1"/>
    <col min="7436" max="7436" width="14.33203125" style="667" customWidth="1"/>
    <col min="7437" max="7437" width="15.1640625" style="667" customWidth="1"/>
    <col min="7438" max="7680" width="9.33203125" style="667"/>
    <col min="7681" max="7681" width="5.83203125" style="667" customWidth="1"/>
    <col min="7682" max="7682" width="22.33203125" style="667" customWidth="1"/>
    <col min="7683" max="7683" width="13" style="667" customWidth="1"/>
    <col min="7684" max="7684" width="11" style="667" customWidth="1"/>
    <col min="7685" max="7685" width="15.5" style="667" customWidth="1"/>
    <col min="7686" max="7686" width="11.1640625" style="667" customWidth="1"/>
    <col min="7687" max="7687" width="13.33203125" style="667" customWidth="1"/>
    <col min="7688" max="7689" width="14" style="667" customWidth="1"/>
    <col min="7690" max="7690" width="13.33203125" style="667" customWidth="1"/>
    <col min="7691" max="7691" width="12.33203125" style="667" customWidth="1"/>
    <col min="7692" max="7692" width="14.33203125" style="667" customWidth="1"/>
    <col min="7693" max="7693" width="15.1640625" style="667" customWidth="1"/>
    <col min="7694" max="7936" width="9.33203125" style="667"/>
    <col min="7937" max="7937" width="5.83203125" style="667" customWidth="1"/>
    <col min="7938" max="7938" width="22.33203125" style="667" customWidth="1"/>
    <col min="7939" max="7939" width="13" style="667" customWidth="1"/>
    <col min="7940" max="7940" width="11" style="667" customWidth="1"/>
    <col min="7941" max="7941" width="15.5" style="667" customWidth="1"/>
    <col min="7942" max="7942" width="11.1640625" style="667" customWidth="1"/>
    <col min="7943" max="7943" width="13.33203125" style="667" customWidth="1"/>
    <col min="7944" max="7945" width="14" style="667" customWidth="1"/>
    <col min="7946" max="7946" width="13.33203125" style="667" customWidth="1"/>
    <col min="7947" max="7947" width="12.33203125" style="667" customWidth="1"/>
    <col min="7948" max="7948" width="14.33203125" style="667" customWidth="1"/>
    <col min="7949" max="7949" width="15.1640625" style="667" customWidth="1"/>
    <col min="7950" max="8192" width="9.33203125" style="667"/>
    <col min="8193" max="8193" width="5.83203125" style="667" customWidth="1"/>
    <col min="8194" max="8194" width="22.33203125" style="667" customWidth="1"/>
    <col min="8195" max="8195" width="13" style="667" customWidth="1"/>
    <col min="8196" max="8196" width="11" style="667" customWidth="1"/>
    <col min="8197" max="8197" width="15.5" style="667" customWidth="1"/>
    <col min="8198" max="8198" width="11.1640625" style="667" customWidth="1"/>
    <col min="8199" max="8199" width="13.33203125" style="667" customWidth="1"/>
    <col min="8200" max="8201" width="14" style="667" customWidth="1"/>
    <col min="8202" max="8202" width="13.33203125" style="667" customWidth="1"/>
    <col min="8203" max="8203" width="12.33203125" style="667" customWidth="1"/>
    <col min="8204" max="8204" width="14.33203125" style="667" customWidth="1"/>
    <col min="8205" max="8205" width="15.1640625" style="667" customWidth="1"/>
    <col min="8206" max="8448" width="9.33203125" style="667"/>
    <col min="8449" max="8449" width="5.83203125" style="667" customWidth="1"/>
    <col min="8450" max="8450" width="22.33203125" style="667" customWidth="1"/>
    <col min="8451" max="8451" width="13" style="667" customWidth="1"/>
    <col min="8452" max="8452" width="11" style="667" customWidth="1"/>
    <col min="8453" max="8453" width="15.5" style="667" customWidth="1"/>
    <col min="8454" max="8454" width="11.1640625" style="667" customWidth="1"/>
    <col min="8455" max="8455" width="13.33203125" style="667" customWidth="1"/>
    <col min="8456" max="8457" width="14" style="667" customWidth="1"/>
    <col min="8458" max="8458" width="13.33203125" style="667" customWidth="1"/>
    <col min="8459" max="8459" width="12.33203125" style="667" customWidth="1"/>
    <col min="8460" max="8460" width="14.33203125" style="667" customWidth="1"/>
    <col min="8461" max="8461" width="15.1640625" style="667" customWidth="1"/>
    <col min="8462" max="8704" width="9.33203125" style="667"/>
    <col min="8705" max="8705" width="5.83203125" style="667" customWidth="1"/>
    <col min="8706" max="8706" width="22.33203125" style="667" customWidth="1"/>
    <col min="8707" max="8707" width="13" style="667" customWidth="1"/>
    <col min="8708" max="8708" width="11" style="667" customWidth="1"/>
    <col min="8709" max="8709" width="15.5" style="667" customWidth="1"/>
    <col min="8710" max="8710" width="11.1640625" style="667" customWidth="1"/>
    <col min="8711" max="8711" width="13.33203125" style="667" customWidth="1"/>
    <col min="8712" max="8713" width="14" style="667" customWidth="1"/>
    <col min="8714" max="8714" width="13.33203125" style="667" customWidth="1"/>
    <col min="8715" max="8715" width="12.33203125" style="667" customWidth="1"/>
    <col min="8716" max="8716" width="14.33203125" style="667" customWidth="1"/>
    <col min="8717" max="8717" width="15.1640625" style="667" customWidth="1"/>
    <col min="8718" max="8960" width="9.33203125" style="667"/>
    <col min="8961" max="8961" width="5.83203125" style="667" customWidth="1"/>
    <col min="8962" max="8962" width="22.33203125" style="667" customWidth="1"/>
    <col min="8963" max="8963" width="13" style="667" customWidth="1"/>
    <col min="8964" max="8964" width="11" style="667" customWidth="1"/>
    <col min="8965" max="8965" width="15.5" style="667" customWidth="1"/>
    <col min="8966" max="8966" width="11.1640625" style="667" customWidth="1"/>
    <col min="8967" max="8967" width="13.33203125" style="667" customWidth="1"/>
    <col min="8968" max="8969" width="14" style="667" customWidth="1"/>
    <col min="8970" max="8970" width="13.33203125" style="667" customWidth="1"/>
    <col min="8971" max="8971" width="12.33203125" style="667" customWidth="1"/>
    <col min="8972" max="8972" width="14.33203125" style="667" customWidth="1"/>
    <col min="8973" max="8973" width="15.1640625" style="667" customWidth="1"/>
    <col min="8974" max="9216" width="9.33203125" style="667"/>
    <col min="9217" max="9217" width="5.83203125" style="667" customWidth="1"/>
    <col min="9218" max="9218" width="22.33203125" style="667" customWidth="1"/>
    <col min="9219" max="9219" width="13" style="667" customWidth="1"/>
    <col min="9220" max="9220" width="11" style="667" customWidth="1"/>
    <col min="9221" max="9221" width="15.5" style="667" customWidth="1"/>
    <col min="9222" max="9222" width="11.1640625" style="667" customWidth="1"/>
    <col min="9223" max="9223" width="13.33203125" style="667" customWidth="1"/>
    <col min="9224" max="9225" width="14" style="667" customWidth="1"/>
    <col min="9226" max="9226" width="13.33203125" style="667" customWidth="1"/>
    <col min="9227" max="9227" width="12.33203125" style="667" customWidth="1"/>
    <col min="9228" max="9228" width="14.33203125" style="667" customWidth="1"/>
    <col min="9229" max="9229" width="15.1640625" style="667" customWidth="1"/>
    <col min="9230" max="9472" width="9.33203125" style="667"/>
    <col min="9473" max="9473" width="5.83203125" style="667" customWidth="1"/>
    <col min="9474" max="9474" width="22.33203125" style="667" customWidth="1"/>
    <col min="9475" max="9475" width="13" style="667" customWidth="1"/>
    <col min="9476" max="9476" width="11" style="667" customWidth="1"/>
    <col min="9477" max="9477" width="15.5" style="667" customWidth="1"/>
    <col min="9478" max="9478" width="11.1640625" style="667" customWidth="1"/>
    <col min="9479" max="9479" width="13.33203125" style="667" customWidth="1"/>
    <col min="9480" max="9481" width="14" style="667" customWidth="1"/>
    <col min="9482" max="9482" width="13.33203125" style="667" customWidth="1"/>
    <col min="9483" max="9483" width="12.33203125" style="667" customWidth="1"/>
    <col min="9484" max="9484" width="14.33203125" style="667" customWidth="1"/>
    <col min="9485" max="9485" width="15.1640625" style="667" customWidth="1"/>
    <col min="9486" max="9728" width="9.33203125" style="667"/>
    <col min="9729" max="9729" width="5.83203125" style="667" customWidth="1"/>
    <col min="9730" max="9730" width="22.33203125" style="667" customWidth="1"/>
    <col min="9731" max="9731" width="13" style="667" customWidth="1"/>
    <col min="9732" max="9732" width="11" style="667" customWidth="1"/>
    <col min="9733" max="9733" width="15.5" style="667" customWidth="1"/>
    <col min="9734" max="9734" width="11.1640625" style="667" customWidth="1"/>
    <col min="9735" max="9735" width="13.33203125" style="667" customWidth="1"/>
    <col min="9736" max="9737" width="14" style="667" customWidth="1"/>
    <col min="9738" max="9738" width="13.33203125" style="667" customWidth="1"/>
    <col min="9739" max="9739" width="12.33203125" style="667" customWidth="1"/>
    <col min="9740" max="9740" width="14.33203125" style="667" customWidth="1"/>
    <col min="9741" max="9741" width="15.1640625" style="667" customWidth="1"/>
    <col min="9742" max="9984" width="9.33203125" style="667"/>
    <col min="9985" max="9985" width="5.83203125" style="667" customWidth="1"/>
    <col min="9986" max="9986" width="22.33203125" style="667" customWidth="1"/>
    <col min="9987" max="9987" width="13" style="667" customWidth="1"/>
    <col min="9988" max="9988" width="11" style="667" customWidth="1"/>
    <col min="9989" max="9989" width="15.5" style="667" customWidth="1"/>
    <col min="9990" max="9990" width="11.1640625" style="667" customWidth="1"/>
    <col min="9991" max="9991" width="13.33203125" style="667" customWidth="1"/>
    <col min="9992" max="9993" width="14" style="667" customWidth="1"/>
    <col min="9994" max="9994" width="13.33203125" style="667" customWidth="1"/>
    <col min="9995" max="9995" width="12.33203125" style="667" customWidth="1"/>
    <col min="9996" max="9996" width="14.33203125" style="667" customWidth="1"/>
    <col min="9997" max="9997" width="15.1640625" style="667" customWidth="1"/>
    <col min="9998" max="10240" width="9.33203125" style="667"/>
    <col min="10241" max="10241" width="5.83203125" style="667" customWidth="1"/>
    <col min="10242" max="10242" width="22.33203125" style="667" customWidth="1"/>
    <col min="10243" max="10243" width="13" style="667" customWidth="1"/>
    <col min="10244" max="10244" width="11" style="667" customWidth="1"/>
    <col min="10245" max="10245" width="15.5" style="667" customWidth="1"/>
    <col min="10246" max="10246" width="11.1640625" style="667" customWidth="1"/>
    <col min="10247" max="10247" width="13.33203125" style="667" customWidth="1"/>
    <col min="10248" max="10249" width="14" style="667" customWidth="1"/>
    <col min="10250" max="10250" width="13.33203125" style="667" customWidth="1"/>
    <col min="10251" max="10251" width="12.33203125" style="667" customWidth="1"/>
    <col min="10252" max="10252" width="14.33203125" style="667" customWidth="1"/>
    <col min="10253" max="10253" width="15.1640625" style="667" customWidth="1"/>
    <col min="10254" max="10496" width="9.33203125" style="667"/>
    <col min="10497" max="10497" width="5.83203125" style="667" customWidth="1"/>
    <col min="10498" max="10498" width="22.33203125" style="667" customWidth="1"/>
    <col min="10499" max="10499" width="13" style="667" customWidth="1"/>
    <col min="10500" max="10500" width="11" style="667" customWidth="1"/>
    <col min="10501" max="10501" width="15.5" style="667" customWidth="1"/>
    <col min="10502" max="10502" width="11.1640625" style="667" customWidth="1"/>
    <col min="10503" max="10503" width="13.33203125" style="667" customWidth="1"/>
    <col min="10504" max="10505" width="14" style="667" customWidth="1"/>
    <col min="10506" max="10506" width="13.33203125" style="667" customWidth="1"/>
    <col min="10507" max="10507" width="12.33203125" style="667" customWidth="1"/>
    <col min="10508" max="10508" width="14.33203125" style="667" customWidth="1"/>
    <col min="10509" max="10509" width="15.1640625" style="667" customWidth="1"/>
    <col min="10510" max="10752" width="9.33203125" style="667"/>
    <col min="10753" max="10753" width="5.83203125" style="667" customWidth="1"/>
    <col min="10754" max="10754" width="22.33203125" style="667" customWidth="1"/>
    <col min="10755" max="10755" width="13" style="667" customWidth="1"/>
    <col min="10756" max="10756" width="11" style="667" customWidth="1"/>
    <col min="10757" max="10757" width="15.5" style="667" customWidth="1"/>
    <col min="10758" max="10758" width="11.1640625" style="667" customWidth="1"/>
    <col min="10759" max="10759" width="13.33203125" style="667" customWidth="1"/>
    <col min="10760" max="10761" width="14" style="667" customWidth="1"/>
    <col min="10762" max="10762" width="13.33203125" style="667" customWidth="1"/>
    <col min="10763" max="10763" width="12.33203125" style="667" customWidth="1"/>
    <col min="10764" max="10764" width="14.33203125" style="667" customWidth="1"/>
    <col min="10765" max="10765" width="15.1640625" style="667" customWidth="1"/>
    <col min="10766" max="11008" width="9.33203125" style="667"/>
    <col min="11009" max="11009" width="5.83203125" style="667" customWidth="1"/>
    <col min="11010" max="11010" width="22.33203125" style="667" customWidth="1"/>
    <col min="11011" max="11011" width="13" style="667" customWidth="1"/>
    <col min="11012" max="11012" width="11" style="667" customWidth="1"/>
    <col min="11013" max="11013" width="15.5" style="667" customWidth="1"/>
    <col min="11014" max="11014" width="11.1640625" style="667" customWidth="1"/>
    <col min="11015" max="11015" width="13.33203125" style="667" customWidth="1"/>
    <col min="11016" max="11017" width="14" style="667" customWidth="1"/>
    <col min="11018" max="11018" width="13.33203125" style="667" customWidth="1"/>
    <col min="11019" max="11019" width="12.33203125" style="667" customWidth="1"/>
    <col min="11020" max="11020" width="14.33203125" style="667" customWidth="1"/>
    <col min="11021" max="11021" width="15.1640625" style="667" customWidth="1"/>
    <col min="11022" max="11264" width="9.33203125" style="667"/>
    <col min="11265" max="11265" width="5.83203125" style="667" customWidth="1"/>
    <col min="11266" max="11266" width="22.33203125" style="667" customWidth="1"/>
    <col min="11267" max="11267" width="13" style="667" customWidth="1"/>
    <col min="11268" max="11268" width="11" style="667" customWidth="1"/>
    <col min="11269" max="11269" width="15.5" style="667" customWidth="1"/>
    <col min="11270" max="11270" width="11.1640625" style="667" customWidth="1"/>
    <col min="11271" max="11271" width="13.33203125" style="667" customWidth="1"/>
    <col min="11272" max="11273" width="14" style="667" customWidth="1"/>
    <col min="11274" max="11274" width="13.33203125" style="667" customWidth="1"/>
    <col min="11275" max="11275" width="12.33203125" style="667" customWidth="1"/>
    <col min="11276" max="11276" width="14.33203125" style="667" customWidth="1"/>
    <col min="11277" max="11277" width="15.1640625" style="667" customWidth="1"/>
    <col min="11278" max="11520" width="9.33203125" style="667"/>
    <col min="11521" max="11521" width="5.83203125" style="667" customWidth="1"/>
    <col min="11522" max="11522" width="22.33203125" style="667" customWidth="1"/>
    <col min="11523" max="11523" width="13" style="667" customWidth="1"/>
    <col min="11524" max="11524" width="11" style="667" customWidth="1"/>
    <col min="11525" max="11525" width="15.5" style="667" customWidth="1"/>
    <col min="11526" max="11526" width="11.1640625" style="667" customWidth="1"/>
    <col min="11527" max="11527" width="13.33203125" style="667" customWidth="1"/>
    <col min="11528" max="11529" width="14" style="667" customWidth="1"/>
    <col min="11530" max="11530" width="13.33203125" style="667" customWidth="1"/>
    <col min="11531" max="11531" width="12.33203125" style="667" customWidth="1"/>
    <col min="11532" max="11532" width="14.33203125" style="667" customWidth="1"/>
    <col min="11533" max="11533" width="15.1640625" style="667" customWidth="1"/>
    <col min="11534" max="11776" width="9.33203125" style="667"/>
    <col min="11777" max="11777" width="5.83203125" style="667" customWidth="1"/>
    <col min="11778" max="11778" width="22.33203125" style="667" customWidth="1"/>
    <col min="11779" max="11779" width="13" style="667" customWidth="1"/>
    <col min="11780" max="11780" width="11" style="667" customWidth="1"/>
    <col min="11781" max="11781" width="15.5" style="667" customWidth="1"/>
    <col min="11782" max="11782" width="11.1640625" style="667" customWidth="1"/>
    <col min="11783" max="11783" width="13.33203125" style="667" customWidth="1"/>
    <col min="11784" max="11785" width="14" style="667" customWidth="1"/>
    <col min="11786" max="11786" width="13.33203125" style="667" customWidth="1"/>
    <col min="11787" max="11787" width="12.33203125" style="667" customWidth="1"/>
    <col min="11788" max="11788" width="14.33203125" style="667" customWidth="1"/>
    <col min="11789" max="11789" width="15.1640625" style="667" customWidth="1"/>
    <col min="11790" max="12032" width="9.33203125" style="667"/>
    <col min="12033" max="12033" width="5.83203125" style="667" customWidth="1"/>
    <col min="12034" max="12034" width="22.33203125" style="667" customWidth="1"/>
    <col min="12035" max="12035" width="13" style="667" customWidth="1"/>
    <col min="12036" max="12036" width="11" style="667" customWidth="1"/>
    <col min="12037" max="12037" width="15.5" style="667" customWidth="1"/>
    <col min="12038" max="12038" width="11.1640625" style="667" customWidth="1"/>
    <col min="12039" max="12039" width="13.33203125" style="667" customWidth="1"/>
    <col min="12040" max="12041" width="14" style="667" customWidth="1"/>
    <col min="12042" max="12042" width="13.33203125" style="667" customWidth="1"/>
    <col min="12043" max="12043" width="12.33203125" style="667" customWidth="1"/>
    <col min="12044" max="12044" width="14.33203125" style="667" customWidth="1"/>
    <col min="12045" max="12045" width="15.1640625" style="667" customWidth="1"/>
    <col min="12046" max="12288" width="9.33203125" style="667"/>
    <col min="12289" max="12289" width="5.83203125" style="667" customWidth="1"/>
    <col min="12290" max="12290" width="22.33203125" style="667" customWidth="1"/>
    <col min="12291" max="12291" width="13" style="667" customWidth="1"/>
    <col min="12292" max="12292" width="11" style="667" customWidth="1"/>
    <col min="12293" max="12293" width="15.5" style="667" customWidth="1"/>
    <col min="12294" max="12294" width="11.1640625" style="667" customWidth="1"/>
    <col min="12295" max="12295" width="13.33203125" style="667" customWidth="1"/>
    <col min="12296" max="12297" width="14" style="667" customWidth="1"/>
    <col min="12298" max="12298" width="13.33203125" style="667" customWidth="1"/>
    <col min="12299" max="12299" width="12.33203125" style="667" customWidth="1"/>
    <col min="12300" max="12300" width="14.33203125" style="667" customWidth="1"/>
    <col min="12301" max="12301" width="15.1640625" style="667" customWidth="1"/>
    <col min="12302" max="12544" width="9.33203125" style="667"/>
    <col min="12545" max="12545" width="5.83203125" style="667" customWidth="1"/>
    <col min="12546" max="12546" width="22.33203125" style="667" customWidth="1"/>
    <col min="12547" max="12547" width="13" style="667" customWidth="1"/>
    <col min="12548" max="12548" width="11" style="667" customWidth="1"/>
    <col min="12549" max="12549" width="15.5" style="667" customWidth="1"/>
    <col min="12550" max="12550" width="11.1640625" style="667" customWidth="1"/>
    <col min="12551" max="12551" width="13.33203125" style="667" customWidth="1"/>
    <col min="12552" max="12553" width="14" style="667" customWidth="1"/>
    <col min="12554" max="12554" width="13.33203125" style="667" customWidth="1"/>
    <col min="12555" max="12555" width="12.33203125" style="667" customWidth="1"/>
    <col min="12556" max="12556" width="14.33203125" style="667" customWidth="1"/>
    <col min="12557" max="12557" width="15.1640625" style="667" customWidth="1"/>
    <col min="12558" max="12800" width="9.33203125" style="667"/>
    <col min="12801" max="12801" width="5.83203125" style="667" customWidth="1"/>
    <col min="12802" max="12802" width="22.33203125" style="667" customWidth="1"/>
    <col min="12803" max="12803" width="13" style="667" customWidth="1"/>
    <col min="12804" max="12804" width="11" style="667" customWidth="1"/>
    <col min="12805" max="12805" width="15.5" style="667" customWidth="1"/>
    <col min="12806" max="12806" width="11.1640625" style="667" customWidth="1"/>
    <col min="12807" max="12807" width="13.33203125" style="667" customWidth="1"/>
    <col min="12808" max="12809" width="14" style="667" customWidth="1"/>
    <col min="12810" max="12810" width="13.33203125" style="667" customWidth="1"/>
    <col min="12811" max="12811" width="12.33203125" style="667" customWidth="1"/>
    <col min="12812" max="12812" width="14.33203125" style="667" customWidth="1"/>
    <col min="12813" max="12813" width="15.1640625" style="667" customWidth="1"/>
    <col min="12814" max="13056" width="9.33203125" style="667"/>
    <col min="13057" max="13057" width="5.83203125" style="667" customWidth="1"/>
    <col min="13058" max="13058" width="22.33203125" style="667" customWidth="1"/>
    <col min="13059" max="13059" width="13" style="667" customWidth="1"/>
    <col min="13060" max="13060" width="11" style="667" customWidth="1"/>
    <col min="13061" max="13061" width="15.5" style="667" customWidth="1"/>
    <col min="13062" max="13062" width="11.1640625" style="667" customWidth="1"/>
    <col min="13063" max="13063" width="13.33203125" style="667" customWidth="1"/>
    <col min="13064" max="13065" width="14" style="667" customWidth="1"/>
    <col min="13066" max="13066" width="13.33203125" style="667" customWidth="1"/>
    <col min="13067" max="13067" width="12.33203125" style="667" customWidth="1"/>
    <col min="13068" max="13068" width="14.33203125" style="667" customWidth="1"/>
    <col min="13069" max="13069" width="15.1640625" style="667" customWidth="1"/>
    <col min="13070" max="13312" width="9.33203125" style="667"/>
    <col min="13313" max="13313" width="5.83203125" style="667" customWidth="1"/>
    <col min="13314" max="13314" width="22.33203125" style="667" customWidth="1"/>
    <col min="13315" max="13315" width="13" style="667" customWidth="1"/>
    <col min="13316" max="13316" width="11" style="667" customWidth="1"/>
    <col min="13317" max="13317" width="15.5" style="667" customWidth="1"/>
    <col min="13318" max="13318" width="11.1640625" style="667" customWidth="1"/>
    <col min="13319" max="13319" width="13.33203125" style="667" customWidth="1"/>
    <col min="13320" max="13321" width="14" style="667" customWidth="1"/>
    <col min="13322" max="13322" width="13.33203125" style="667" customWidth="1"/>
    <col min="13323" max="13323" width="12.33203125" style="667" customWidth="1"/>
    <col min="13324" max="13324" width="14.33203125" style="667" customWidth="1"/>
    <col min="13325" max="13325" width="15.1640625" style="667" customWidth="1"/>
    <col min="13326" max="13568" width="9.33203125" style="667"/>
    <col min="13569" max="13569" width="5.83203125" style="667" customWidth="1"/>
    <col min="13570" max="13570" width="22.33203125" style="667" customWidth="1"/>
    <col min="13571" max="13571" width="13" style="667" customWidth="1"/>
    <col min="13572" max="13572" width="11" style="667" customWidth="1"/>
    <col min="13573" max="13573" width="15.5" style="667" customWidth="1"/>
    <col min="13574" max="13574" width="11.1640625" style="667" customWidth="1"/>
    <col min="13575" max="13575" width="13.33203125" style="667" customWidth="1"/>
    <col min="13576" max="13577" width="14" style="667" customWidth="1"/>
    <col min="13578" max="13578" width="13.33203125" style="667" customWidth="1"/>
    <col min="13579" max="13579" width="12.33203125" style="667" customWidth="1"/>
    <col min="13580" max="13580" width="14.33203125" style="667" customWidth="1"/>
    <col min="13581" max="13581" width="15.1640625" style="667" customWidth="1"/>
    <col min="13582" max="13824" width="9.33203125" style="667"/>
    <col min="13825" max="13825" width="5.83203125" style="667" customWidth="1"/>
    <col min="13826" max="13826" width="22.33203125" style="667" customWidth="1"/>
    <col min="13827" max="13827" width="13" style="667" customWidth="1"/>
    <col min="13828" max="13828" width="11" style="667" customWidth="1"/>
    <col min="13829" max="13829" width="15.5" style="667" customWidth="1"/>
    <col min="13830" max="13830" width="11.1640625" style="667" customWidth="1"/>
    <col min="13831" max="13831" width="13.33203125" style="667" customWidth="1"/>
    <col min="13832" max="13833" width="14" style="667" customWidth="1"/>
    <col min="13834" max="13834" width="13.33203125" style="667" customWidth="1"/>
    <col min="13835" max="13835" width="12.33203125" style="667" customWidth="1"/>
    <col min="13836" max="13836" width="14.33203125" style="667" customWidth="1"/>
    <col min="13837" max="13837" width="15.1640625" style="667" customWidth="1"/>
    <col min="13838" max="14080" width="9.33203125" style="667"/>
    <col min="14081" max="14081" width="5.83203125" style="667" customWidth="1"/>
    <col min="14082" max="14082" width="22.33203125" style="667" customWidth="1"/>
    <col min="14083" max="14083" width="13" style="667" customWidth="1"/>
    <col min="14084" max="14084" width="11" style="667" customWidth="1"/>
    <col min="14085" max="14085" width="15.5" style="667" customWidth="1"/>
    <col min="14086" max="14086" width="11.1640625" style="667" customWidth="1"/>
    <col min="14087" max="14087" width="13.33203125" style="667" customWidth="1"/>
    <col min="14088" max="14089" width="14" style="667" customWidth="1"/>
    <col min="14090" max="14090" width="13.33203125" style="667" customWidth="1"/>
    <col min="14091" max="14091" width="12.33203125" style="667" customWidth="1"/>
    <col min="14092" max="14092" width="14.33203125" style="667" customWidth="1"/>
    <col min="14093" max="14093" width="15.1640625" style="667" customWidth="1"/>
    <col min="14094" max="14336" width="9.33203125" style="667"/>
    <col min="14337" max="14337" width="5.83203125" style="667" customWidth="1"/>
    <col min="14338" max="14338" width="22.33203125" style="667" customWidth="1"/>
    <col min="14339" max="14339" width="13" style="667" customWidth="1"/>
    <col min="14340" max="14340" width="11" style="667" customWidth="1"/>
    <col min="14341" max="14341" width="15.5" style="667" customWidth="1"/>
    <col min="14342" max="14342" width="11.1640625" style="667" customWidth="1"/>
    <col min="14343" max="14343" width="13.33203125" style="667" customWidth="1"/>
    <col min="14344" max="14345" width="14" style="667" customWidth="1"/>
    <col min="14346" max="14346" width="13.33203125" style="667" customWidth="1"/>
    <col min="14347" max="14347" width="12.33203125" style="667" customWidth="1"/>
    <col min="14348" max="14348" width="14.33203125" style="667" customWidth="1"/>
    <col min="14349" max="14349" width="15.1640625" style="667" customWidth="1"/>
    <col min="14350" max="14592" width="9.33203125" style="667"/>
    <col min="14593" max="14593" width="5.83203125" style="667" customWidth="1"/>
    <col min="14594" max="14594" width="22.33203125" style="667" customWidth="1"/>
    <col min="14595" max="14595" width="13" style="667" customWidth="1"/>
    <col min="14596" max="14596" width="11" style="667" customWidth="1"/>
    <col min="14597" max="14597" width="15.5" style="667" customWidth="1"/>
    <col min="14598" max="14598" width="11.1640625" style="667" customWidth="1"/>
    <col min="14599" max="14599" width="13.33203125" style="667" customWidth="1"/>
    <col min="14600" max="14601" width="14" style="667" customWidth="1"/>
    <col min="14602" max="14602" width="13.33203125" style="667" customWidth="1"/>
    <col min="14603" max="14603" width="12.33203125" style="667" customWidth="1"/>
    <col min="14604" max="14604" width="14.33203125" style="667" customWidth="1"/>
    <col min="14605" max="14605" width="15.1640625" style="667" customWidth="1"/>
    <col min="14606" max="14848" width="9.33203125" style="667"/>
    <col min="14849" max="14849" width="5.83203125" style="667" customWidth="1"/>
    <col min="14850" max="14850" width="22.33203125" style="667" customWidth="1"/>
    <col min="14851" max="14851" width="13" style="667" customWidth="1"/>
    <col min="14852" max="14852" width="11" style="667" customWidth="1"/>
    <col min="14853" max="14853" width="15.5" style="667" customWidth="1"/>
    <col min="14854" max="14854" width="11.1640625" style="667" customWidth="1"/>
    <col min="14855" max="14855" width="13.33203125" style="667" customWidth="1"/>
    <col min="14856" max="14857" width="14" style="667" customWidth="1"/>
    <col min="14858" max="14858" width="13.33203125" style="667" customWidth="1"/>
    <col min="14859" max="14859" width="12.33203125" style="667" customWidth="1"/>
    <col min="14860" max="14860" width="14.33203125" style="667" customWidth="1"/>
    <col min="14861" max="14861" width="15.1640625" style="667" customWidth="1"/>
    <col min="14862" max="15104" width="9.33203125" style="667"/>
    <col min="15105" max="15105" width="5.83203125" style="667" customWidth="1"/>
    <col min="15106" max="15106" width="22.33203125" style="667" customWidth="1"/>
    <col min="15107" max="15107" width="13" style="667" customWidth="1"/>
    <col min="15108" max="15108" width="11" style="667" customWidth="1"/>
    <col min="15109" max="15109" width="15.5" style="667" customWidth="1"/>
    <col min="15110" max="15110" width="11.1640625" style="667" customWidth="1"/>
    <col min="15111" max="15111" width="13.33203125" style="667" customWidth="1"/>
    <col min="15112" max="15113" width="14" style="667" customWidth="1"/>
    <col min="15114" max="15114" width="13.33203125" style="667" customWidth="1"/>
    <col min="15115" max="15115" width="12.33203125" style="667" customWidth="1"/>
    <col min="15116" max="15116" width="14.33203125" style="667" customWidth="1"/>
    <col min="15117" max="15117" width="15.1640625" style="667" customWidth="1"/>
    <col min="15118" max="15360" width="9.33203125" style="667"/>
    <col min="15361" max="15361" width="5.83203125" style="667" customWidth="1"/>
    <col min="15362" max="15362" width="22.33203125" style="667" customWidth="1"/>
    <col min="15363" max="15363" width="13" style="667" customWidth="1"/>
    <col min="15364" max="15364" width="11" style="667" customWidth="1"/>
    <col min="15365" max="15365" width="15.5" style="667" customWidth="1"/>
    <col min="15366" max="15366" width="11.1640625" style="667" customWidth="1"/>
    <col min="15367" max="15367" width="13.33203125" style="667" customWidth="1"/>
    <col min="15368" max="15369" width="14" style="667" customWidth="1"/>
    <col min="15370" max="15370" width="13.33203125" style="667" customWidth="1"/>
    <col min="15371" max="15371" width="12.33203125" style="667" customWidth="1"/>
    <col min="15372" max="15372" width="14.33203125" style="667" customWidth="1"/>
    <col min="15373" max="15373" width="15.1640625" style="667" customWidth="1"/>
    <col min="15374" max="15616" width="9.33203125" style="667"/>
    <col min="15617" max="15617" width="5.83203125" style="667" customWidth="1"/>
    <col min="15618" max="15618" width="22.33203125" style="667" customWidth="1"/>
    <col min="15619" max="15619" width="13" style="667" customWidth="1"/>
    <col min="15620" max="15620" width="11" style="667" customWidth="1"/>
    <col min="15621" max="15621" width="15.5" style="667" customWidth="1"/>
    <col min="15622" max="15622" width="11.1640625" style="667" customWidth="1"/>
    <col min="15623" max="15623" width="13.33203125" style="667" customWidth="1"/>
    <col min="15624" max="15625" width="14" style="667" customWidth="1"/>
    <col min="15626" max="15626" width="13.33203125" style="667" customWidth="1"/>
    <col min="15627" max="15627" width="12.33203125" style="667" customWidth="1"/>
    <col min="15628" max="15628" width="14.33203125" style="667" customWidth="1"/>
    <col min="15629" max="15629" width="15.1640625" style="667" customWidth="1"/>
    <col min="15630" max="15872" width="9.33203125" style="667"/>
    <col min="15873" max="15873" width="5.83203125" style="667" customWidth="1"/>
    <col min="15874" max="15874" width="22.33203125" style="667" customWidth="1"/>
    <col min="15875" max="15875" width="13" style="667" customWidth="1"/>
    <col min="15876" max="15876" width="11" style="667" customWidth="1"/>
    <col min="15877" max="15877" width="15.5" style="667" customWidth="1"/>
    <col min="15878" max="15878" width="11.1640625" style="667" customWidth="1"/>
    <col min="15879" max="15879" width="13.33203125" style="667" customWidth="1"/>
    <col min="15880" max="15881" width="14" style="667" customWidth="1"/>
    <col min="15882" max="15882" width="13.33203125" style="667" customWidth="1"/>
    <col min="15883" max="15883" width="12.33203125" style="667" customWidth="1"/>
    <col min="15884" max="15884" width="14.33203125" style="667" customWidth="1"/>
    <col min="15885" max="15885" width="15.1640625" style="667" customWidth="1"/>
    <col min="15886" max="16128" width="9.33203125" style="667"/>
    <col min="16129" max="16129" width="5.83203125" style="667" customWidth="1"/>
    <col min="16130" max="16130" width="22.33203125" style="667" customWidth="1"/>
    <col min="16131" max="16131" width="13" style="667" customWidth="1"/>
    <col min="16132" max="16132" width="11" style="667" customWidth="1"/>
    <col min="16133" max="16133" width="15.5" style="667" customWidth="1"/>
    <col min="16134" max="16134" width="11.1640625" style="667" customWidth="1"/>
    <col min="16135" max="16135" width="13.33203125" style="667" customWidth="1"/>
    <col min="16136" max="16137" width="14" style="667" customWidth="1"/>
    <col min="16138" max="16138" width="13.33203125" style="667" customWidth="1"/>
    <col min="16139" max="16139" width="12.33203125" style="667" customWidth="1"/>
    <col min="16140" max="16140" width="14.33203125" style="667" customWidth="1"/>
    <col min="16141" max="16141" width="15.1640625" style="667" customWidth="1"/>
    <col min="16142" max="16384" width="9.33203125" style="667"/>
  </cols>
  <sheetData>
    <row r="1" spans="1:13" ht="41.25" customHeight="1" x14ac:dyDescent="0.2">
      <c r="A1" s="1162" t="s">
        <v>737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</row>
    <row r="2" spans="1:13" ht="15" x14ac:dyDescent="0.2">
      <c r="A2" s="668"/>
      <c r="B2" s="666"/>
      <c r="C2" s="670"/>
      <c r="D2" s="671"/>
      <c r="E2" s="669"/>
      <c r="F2" s="669"/>
      <c r="G2" s="669"/>
      <c r="H2" s="669"/>
      <c r="I2" s="669"/>
      <c r="K2" s="1164" t="s">
        <v>1</v>
      </c>
      <c r="L2" s="1164"/>
      <c r="M2" s="1164"/>
    </row>
    <row r="3" spans="1:13" s="660" customFormat="1" ht="75.75" customHeight="1" x14ac:dyDescent="0.2">
      <c r="A3" s="672" t="s">
        <v>365</v>
      </c>
      <c r="B3" s="673" t="s">
        <v>401</v>
      </c>
      <c r="C3" s="673" t="s">
        <v>402</v>
      </c>
      <c r="D3" s="673" t="s">
        <v>412</v>
      </c>
      <c r="E3" s="673" t="s">
        <v>201</v>
      </c>
      <c r="F3" s="673" t="s">
        <v>413</v>
      </c>
      <c r="G3" s="674" t="s">
        <v>205</v>
      </c>
      <c r="H3" s="674" t="s">
        <v>414</v>
      </c>
      <c r="I3" s="674" t="s">
        <v>226</v>
      </c>
      <c r="J3" s="659" t="s">
        <v>228</v>
      </c>
      <c r="K3" s="677" t="s">
        <v>230</v>
      </c>
      <c r="L3" s="659" t="s">
        <v>415</v>
      </c>
      <c r="M3" s="678" t="s">
        <v>416</v>
      </c>
    </row>
    <row r="4" spans="1:13" ht="65.25" customHeight="1" x14ac:dyDescent="0.2">
      <c r="A4" s="760" t="s">
        <v>9</v>
      </c>
      <c r="B4" s="927" t="s">
        <v>408</v>
      </c>
      <c r="C4" s="928" t="s">
        <v>409</v>
      </c>
      <c r="D4" s="761"/>
      <c r="E4" s="762"/>
      <c r="F4" s="762"/>
      <c r="G4" s="763"/>
      <c r="H4" s="763"/>
      <c r="I4" s="762"/>
      <c r="J4" s="764"/>
      <c r="K4" s="765"/>
      <c r="L4" s="764"/>
      <c r="M4" s="766">
        <f>SUM(D4:L4)</f>
        <v>0</v>
      </c>
    </row>
    <row r="5" spans="1:13" ht="36.75" customHeight="1" x14ac:dyDescent="0.2">
      <c r="A5" s="675" t="s">
        <v>12</v>
      </c>
      <c r="B5" s="929" t="s">
        <v>672</v>
      </c>
      <c r="C5" s="922" t="s">
        <v>640</v>
      </c>
      <c r="D5" s="679"/>
      <c r="E5" s="680"/>
      <c r="F5" s="680"/>
      <c r="G5" s="681"/>
      <c r="H5" s="681"/>
      <c r="I5" s="680"/>
      <c r="J5" s="661"/>
      <c r="K5" s="662"/>
      <c r="L5" s="661"/>
      <c r="M5" s="663">
        <f t="shared" ref="M5:M49" si="0">SUM(D5:L5)</f>
        <v>0</v>
      </c>
    </row>
    <row r="6" spans="1:13" ht="51" customHeight="1" x14ac:dyDescent="0.2">
      <c r="A6" s="675" t="s">
        <v>15</v>
      </c>
      <c r="B6" s="929" t="s">
        <v>618</v>
      </c>
      <c r="C6" s="922" t="s">
        <v>617</v>
      </c>
      <c r="D6" s="679"/>
      <c r="E6" s="680"/>
      <c r="F6" s="680"/>
      <c r="G6" s="681"/>
      <c r="H6" s="681"/>
      <c r="I6" s="680"/>
      <c r="J6" s="661"/>
      <c r="K6" s="662"/>
      <c r="L6" s="661"/>
      <c r="M6" s="663">
        <f t="shared" si="0"/>
        <v>0</v>
      </c>
    </row>
    <row r="7" spans="1:13" ht="39.75" customHeight="1" x14ac:dyDescent="0.2">
      <c r="A7" s="675" t="s">
        <v>18</v>
      </c>
      <c r="B7" s="929" t="s">
        <v>673</v>
      </c>
      <c r="C7" s="922" t="s">
        <v>641</v>
      </c>
      <c r="D7" s="626"/>
      <c r="E7" s="627"/>
      <c r="F7" s="627"/>
      <c r="G7" s="628"/>
      <c r="H7" s="628"/>
      <c r="I7" s="627"/>
      <c r="J7" s="767"/>
      <c r="K7" s="768"/>
      <c r="L7" s="767"/>
      <c r="M7" s="663">
        <f t="shared" si="0"/>
        <v>0</v>
      </c>
    </row>
    <row r="8" spans="1:13" ht="39" customHeight="1" x14ac:dyDescent="0.2">
      <c r="A8" s="675" t="s">
        <v>21</v>
      </c>
      <c r="B8" s="929" t="s">
        <v>620</v>
      </c>
      <c r="C8" s="922" t="s">
        <v>619</v>
      </c>
      <c r="D8" s="626"/>
      <c r="E8" s="627"/>
      <c r="F8" s="627"/>
      <c r="G8" s="628"/>
      <c r="H8" s="628" t="e">
        <f>#REF!</f>
        <v>#REF!</v>
      </c>
      <c r="I8" s="627"/>
      <c r="J8" s="767"/>
      <c r="K8" s="768"/>
      <c r="L8" s="767" t="e">
        <f>#REF!</f>
        <v>#REF!</v>
      </c>
      <c r="M8" s="663" t="e">
        <f t="shared" si="0"/>
        <v>#REF!</v>
      </c>
    </row>
    <row r="9" spans="1:13" ht="34.5" customHeight="1" x14ac:dyDescent="0.2">
      <c r="A9" s="675" t="s">
        <v>24</v>
      </c>
      <c r="B9" s="929" t="s">
        <v>713</v>
      </c>
      <c r="C9" s="922" t="s">
        <v>411</v>
      </c>
      <c r="D9" s="626"/>
      <c r="E9" s="627"/>
      <c r="F9" s="627"/>
      <c r="G9" s="628"/>
      <c r="H9" s="628" t="e">
        <f>#REF!</f>
        <v>#REF!</v>
      </c>
      <c r="I9" s="627"/>
      <c r="J9" s="767"/>
      <c r="K9" s="768"/>
      <c r="L9" s="767" t="e">
        <f>#REF!</f>
        <v>#REF!</v>
      </c>
      <c r="M9" s="663" t="e">
        <f t="shared" si="0"/>
        <v>#REF!</v>
      </c>
    </row>
    <row r="10" spans="1:13" ht="34.5" customHeight="1" x14ac:dyDescent="0.2">
      <c r="A10" s="675" t="s">
        <v>27</v>
      </c>
      <c r="B10" s="916" t="s">
        <v>612</v>
      </c>
      <c r="C10" s="922" t="s">
        <v>611</v>
      </c>
      <c r="D10" s="679"/>
      <c r="E10" s="680"/>
      <c r="F10" s="680"/>
      <c r="G10" s="681"/>
      <c r="H10" s="681"/>
      <c r="I10" s="680"/>
      <c r="J10" s="661"/>
      <c r="K10" s="662"/>
      <c r="L10" s="661"/>
      <c r="M10" s="663">
        <f t="shared" si="0"/>
        <v>0</v>
      </c>
    </row>
    <row r="11" spans="1:13" ht="34.5" customHeight="1" x14ac:dyDescent="0.2">
      <c r="A11" s="675" t="s">
        <v>30</v>
      </c>
      <c r="B11" s="916" t="s">
        <v>622</v>
      </c>
      <c r="C11" s="922" t="s">
        <v>621</v>
      </c>
      <c r="D11" s="679"/>
      <c r="E11" s="680"/>
      <c r="F11" s="680"/>
      <c r="G11" s="681"/>
      <c r="H11" s="681"/>
      <c r="I11" s="680"/>
      <c r="J11" s="661"/>
      <c r="K11" s="662"/>
      <c r="L11" s="767"/>
      <c r="M11" s="663">
        <f t="shared" si="0"/>
        <v>0</v>
      </c>
    </row>
    <row r="12" spans="1:13" s="665" customFormat="1" ht="36" customHeight="1" x14ac:dyDescent="0.25">
      <c r="A12" s="675" t="s">
        <v>33</v>
      </c>
      <c r="B12" s="929" t="s">
        <v>674</v>
      </c>
      <c r="C12" s="922" t="s">
        <v>629</v>
      </c>
      <c r="D12" s="679"/>
      <c r="E12" s="679"/>
      <c r="F12" s="679"/>
      <c r="G12" s="679"/>
      <c r="H12" s="679"/>
      <c r="I12" s="679"/>
      <c r="J12" s="679"/>
      <c r="K12" s="679"/>
      <c r="L12" s="679"/>
      <c r="M12" s="663">
        <f t="shared" si="0"/>
        <v>0</v>
      </c>
    </row>
    <row r="13" spans="1:13" ht="38.25" customHeight="1" x14ac:dyDescent="0.2">
      <c r="A13" s="675" t="s">
        <v>36</v>
      </c>
      <c r="B13" s="929" t="s">
        <v>675</v>
      </c>
      <c r="C13" s="922" t="s">
        <v>642</v>
      </c>
      <c r="D13" s="679"/>
      <c r="E13" s="679"/>
      <c r="F13" s="679"/>
      <c r="G13" s="679"/>
      <c r="H13" s="679"/>
      <c r="I13" s="679"/>
      <c r="J13" s="679"/>
      <c r="K13" s="679"/>
      <c r="L13" s="679"/>
      <c r="M13" s="663">
        <f t="shared" si="0"/>
        <v>0</v>
      </c>
    </row>
    <row r="14" spans="1:13" ht="36" customHeight="1" x14ac:dyDescent="0.2">
      <c r="A14" s="675" t="s">
        <v>38</v>
      </c>
      <c r="B14" s="929" t="s">
        <v>676</v>
      </c>
      <c r="C14" s="922" t="s">
        <v>643</v>
      </c>
      <c r="D14" s="679"/>
      <c r="E14" s="679"/>
      <c r="F14" s="679"/>
      <c r="G14" s="679"/>
      <c r="H14" s="679"/>
      <c r="I14" s="679"/>
      <c r="J14" s="679"/>
      <c r="K14" s="679"/>
      <c r="L14" s="679"/>
      <c r="M14" s="663">
        <f t="shared" si="0"/>
        <v>0</v>
      </c>
    </row>
    <row r="15" spans="1:13" ht="36" customHeight="1" x14ac:dyDescent="0.2">
      <c r="A15" s="675" t="s">
        <v>40</v>
      </c>
      <c r="B15" s="929" t="s">
        <v>678</v>
      </c>
      <c r="C15" s="922" t="s">
        <v>677</v>
      </c>
      <c r="D15" s="679"/>
      <c r="E15" s="679"/>
      <c r="F15" s="679"/>
      <c r="G15" s="679"/>
      <c r="H15" s="679"/>
      <c r="I15" s="679"/>
      <c r="J15" s="679"/>
      <c r="K15" s="679"/>
      <c r="L15" s="679"/>
      <c r="M15" s="663">
        <f t="shared" si="0"/>
        <v>0</v>
      </c>
    </row>
    <row r="16" spans="1:13" ht="54" customHeight="1" x14ac:dyDescent="0.2">
      <c r="A16" s="675" t="s">
        <v>42</v>
      </c>
      <c r="B16" s="929" t="s">
        <v>679</v>
      </c>
      <c r="C16" s="922" t="s">
        <v>644</v>
      </c>
      <c r="D16" s="679"/>
      <c r="E16" s="679"/>
      <c r="F16" s="679"/>
      <c r="G16" s="679"/>
      <c r="H16" s="679"/>
      <c r="I16" s="679"/>
      <c r="J16" s="679"/>
      <c r="K16" s="679"/>
      <c r="L16" s="679"/>
      <c r="M16" s="663">
        <f t="shared" si="0"/>
        <v>0</v>
      </c>
    </row>
    <row r="17" spans="1:13" ht="52.5" customHeight="1" x14ac:dyDescent="0.2">
      <c r="A17" s="675" t="s">
        <v>44</v>
      </c>
      <c r="B17" s="929" t="s">
        <v>680</v>
      </c>
      <c r="C17" s="922" t="s">
        <v>645</v>
      </c>
      <c r="D17" s="679"/>
      <c r="E17" s="679"/>
      <c r="F17" s="679"/>
      <c r="G17" s="679"/>
      <c r="H17" s="679"/>
      <c r="I17" s="679"/>
      <c r="J17" s="679"/>
      <c r="K17" s="679"/>
      <c r="L17" s="679"/>
      <c r="M17" s="663">
        <f t="shared" si="0"/>
        <v>0</v>
      </c>
    </row>
    <row r="18" spans="1:13" s="654" customFormat="1" ht="36" customHeight="1" x14ac:dyDescent="0.2">
      <c r="A18" s="675" t="s">
        <v>46</v>
      </c>
      <c r="B18" s="929" t="s">
        <v>681</v>
      </c>
      <c r="C18" s="922" t="s">
        <v>646</v>
      </c>
      <c r="D18" s="679"/>
      <c r="E18" s="679"/>
      <c r="F18" s="679"/>
      <c r="G18" s="679"/>
      <c r="H18" s="679"/>
      <c r="I18" s="679"/>
      <c r="J18" s="679"/>
      <c r="K18" s="679"/>
      <c r="L18" s="679"/>
      <c r="M18" s="663">
        <f t="shared" si="0"/>
        <v>0</v>
      </c>
    </row>
    <row r="19" spans="1:13" ht="36" customHeight="1" x14ac:dyDescent="0.2">
      <c r="A19" s="675" t="s">
        <v>48</v>
      </c>
      <c r="B19" s="929" t="s">
        <v>682</v>
      </c>
      <c r="C19" s="922" t="s">
        <v>647</v>
      </c>
      <c r="D19" s="679"/>
      <c r="E19" s="679"/>
      <c r="F19" s="679"/>
      <c r="G19" s="679"/>
      <c r="H19" s="679"/>
      <c r="I19" s="679"/>
      <c r="J19" s="679"/>
      <c r="K19" s="679"/>
      <c r="L19" s="679"/>
      <c r="M19" s="663">
        <f t="shared" si="0"/>
        <v>0</v>
      </c>
    </row>
    <row r="20" spans="1:13" ht="36" customHeight="1" x14ac:dyDescent="0.2">
      <c r="A20" s="675" t="s">
        <v>50</v>
      </c>
      <c r="B20" s="929" t="s">
        <v>683</v>
      </c>
      <c r="C20" s="922" t="s">
        <v>648</v>
      </c>
      <c r="D20" s="679"/>
      <c r="E20" s="679"/>
      <c r="F20" s="679"/>
      <c r="G20" s="679"/>
      <c r="H20" s="679"/>
      <c r="I20" s="679"/>
      <c r="J20" s="679"/>
      <c r="K20" s="679"/>
      <c r="L20" s="679"/>
      <c r="M20" s="663">
        <f t="shared" si="0"/>
        <v>0</v>
      </c>
    </row>
    <row r="21" spans="1:13" ht="36" customHeight="1" x14ac:dyDescent="0.2">
      <c r="A21" s="675" t="s">
        <v>53</v>
      </c>
      <c r="B21" s="929" t="s">
        <v>684</v>
      </c>
      <c r="C21" s="922" t="s">
        <v>649</v>
      </c>
      <c r="D21" s="679"/>
      <c r="E21" s="679"/>
      <c r="F21" s="679"/>
      <c r="G21" s="679"/>
      <c r="H21" s="679"/>
      <c r="I21" s="679"/>
      <c r="J21" s="679"/>
      <c r="K21" s="679"/>
      <c r="L21" s="679"/>
      <c r="M21" s="663">
        <f t="shared" si="0"/>
        <v>0</v>
      </c>
    </row>
    <row r="22" spans="1:13" ht="36" customHeight="1" x14ac:dyDescent="0.2">
      <c r="A22" s="675" t="s">
        <v>56</v>
      </c>
      <c r="B22" s="929" t="s">
        <v>687</v>
      </c>
      <c r="C22" s="922" t="s">
        <v>686</v>
      </c>
      <c r="D22" s="679"/>
      <c r="E22" s="679"/>
      <c r="F22" s="679"/>
      <c r="G22" s="679"/>
      <c r="H22" s="679"/>
      <c r="I22" s="679"/>
      <c r="J22" s="679"/>
      <c r="K22" s="679"/>
      <c r="L22" s="679"/>
      <c r="M22" s="663">
        <f t="shared" si="0"/>
        <v>0</v>
      </c>
    </row>
    <row r="23" spans="1:13" ht="38.25" customHeight="1" x14ac:dyDescent="0.2">
      <c r="A23" s="675" t="s">
        <v>59</v>
      </c>
      <c r="B23" s="929" t="s">
        <v>685</v>
      </c>
      <c r="C23" s="922" t="s">
        <v>650</v>
      </c>
      <c r="D23" s="679"/>
      <c r="E23" s="679"/>
      <c r="F23" s="679"/>
      <c r="G23" s="679"/>
      <c r="H23" s="679"/>
      <c r="I23" s="679"/>
      <c r="J23" s="679"/>
      <c r="K23" s="679"/>
      <c r="L23" s="679"/>
      <c r="M23" s="663">
        <f t="shared" si="0"/>
        <v>0</v>
      </c>
    </row>
    <row r="24" spans="1:13" ht="36" customHeight="1" x14ac:dyDescent="0.2">
      <c r="A24" s="675" t="s">
        <v>61</v>
      </c>
      <c r="B24" s="929" t="s">
        <v>628</v>
      </c>
      <c r="C24" s="922" t="s">
        <v>627</v>
      </c>
      <c r="D24" s="679"/>
      <c r="E24" s="679"/>
      <c r="F24" s="679"/>
      <c r="G24" s="679"/>
      <c r="H24" s="679"/>
      <c r="I24" s="679"/>
      <c r="J24" s="679"/>
      <c r="K24" s="679"/>
      <c r="L24" s="679"/>
      <c r="M24" s="663">
        <f t="shared" si="0"/>
        <v>0</v>
      </c>
    </row>
    <row r="25" spans="1:13" ht="36" customHeight="1" x14ac:dyDescent="0.2">
      <c r="A25" s="675" t="s">
        <v>63</v>
      </c>
      <c r="B25" s="929" t="s">
        <v>688</v>
      </c>
      <c r="C25" s="922" t="s">
        <v>651</v>
      </c>
      <c r="D25" s="679"/>
      <c r="E25" s="679"/>
      <c r="F25" s="679"/>
      <c r="G25" s="679"/>
      <c r="H25" s="679"/>
      <c r="I25" s="679"/>
      <c r="J25" s="679"/>
      <c r="K25" s="679"/>
      <c r="L25" s="679"/>
      <c r="M25" s="663">
        <f t="shared" si="0"/>
        <v>0</v>
      </c>
    </row>
    <row r="26" spans="1:13" ht="51.75" customHeight="1" x14ac:dyDescent="0.2">
      <c r="A26" s="675" t="s">
        <v>65</v>
      </c>
      <c r="B26" s="929" t="s">
        <v>689</v>
      </c>
      <c r="C26" s="922" t="s">
        <v>652</v>
      </c>
      <c r="D26" s="679"/>
      <c r="E26" s="679"/>
      <c r="F26" s="679"/>
      <c r="G26" s="679"/>
      <c r="H26" s="679"/>
      <c r="I26" s="679"/>
      <c r="J26" s="679"/>
      <c r="K26" s="679"/>
      <c r="L26" s="679"/>
      <c r="M26" s="663">
        <f t="shared" si="0"/>
        <v>0</v>
      </c>
    </row>
    <row r="27" spans="1:13" ht="25.5" customHeight="1" x14ac:dyDescent="0.2">
      <c r="A27" s="675" t="s">
        <v>67</v>
      </c>
      <c r="B27" s="929" t="s">
        <v>690</v>
      </c>
      <c r="C27" s="922" t="s">
        <v>653</v>
      </c>
      <c r="D27" s="679"/>
      <c r="E27" s="679"/>
      <c r="F27" s="679"/>
      <c r="G27" s="679"/>
      <c r="H27" s="679"/>
      <c r="I27" s="679"/>
      <c r="J27" s="679"/>
      <c r="K27" s="679"/>
      <c r="L27" s="679"/>
      <c r="M27" s="663">
        <f t="shared" si="0"/>
        <v>0</v>
      </c>
    </row>
    <row r="28" spans="1:13" ht="25.5" customHeight="1" x14ac:dyDescent="0.2">
      <c r="A28" s="675" t="s">
        <v>69</v>
      </c>
      <c r="B28" s="929" t="s">
        <v>691</v>
      </c>
      <c r="C28" s="922" t="s">
        <v>654</v>
      </c>
      <c r="D28" s="679"/>
      <c r="E28" s="679"/>
      <c r="F28" s="679"/>
      <c r="G28" s="679"/>
      <c r="H28" s="679"/>
      <c r="I28" s="679"/>
      <c r="J28" s="679"/>
      <c r="K28" s="679"/>
      <c r="L28" s="679"/>
      <c r="M28" s="663">
        <f t="shared" si="0"/>
        <v>0</v>
      </c>
    </row>
    <row r="29" spans="1:13" ht="25.5" customHeight="1" x14ac:dyDescent="0.2">
      <c r="A29" s="675" t="s">
        <v>71</v>
      </c>
      <c r="B29" s="929" t="s">
        <v>692</v>
      </c>
      <c r="C29" s="922" t="s">
        <v>655</v>
      </c>
      <c r="D29" s="679"/>
      <c r="E29" s="679"/>
      <c r="F29" s="679"/>
      <c r="G29" s="679"/>
      <c r="H29" s="679"/>
      <c r="I29" s="679"/>
      <c r="J29" s="679"/>
      <c r="K29" s="679"/>
      <c r="L29" s="679"/>
      <c r="M29" s="663">
        <f t="shared" si="0"/>
        <v>0</v>
      </c>
    </row>
    <row r="30" spans="1:13" ht="51" customHeight="1" x14ac:dyDescent="0.2">
      <c r="A30" s="675" t="s">
        <v>74</v>
      </c>
      <c r="B30" s="929" t="s">
        <v>693</v>
      </c>
      <c r="C30" s="922" t="s">
        <v>694</v>
      </c>
      <c r="D30" s="679"/>
      <c r="E30" s="679"/>
      <c r="F30" s="679"/>
      <c r="G30" s="679"/>
      <c r="H30" s="679"/>
      <c r="I30" s="679"/>
      <c r="J30" s="679"/>
      <c r="K30" s="679"/>
      <c r="L30" s="679"/>
      <c r="M30" s="663">
        <f t="shared" si="0"/>
        <v>0</v>
      </c>
    </row>
    <row r="31" spans="1:13" ht="54.75" customHeight="1" x14ac:dyDescent="0.2">
      <c r="A31" s="675" t="s">
        <v>77</v>
      </c>
      <c r="B31" s="929" t="s">
        <v>695</v>
      </c>
      <c r="C31" s="922" t="s">
        <v>656</v>
      </c>
      <c r="D31" s="679"/>
      <c r="E31" s="679"/>
      <c r="F31" s="679"/>
      <c r="G31" s="679"/>
      <c r="H31" s="679"/>
      <c r="I31" s="679"/>
      <c r="J31" s="679"/>
      <c r="K31" s="679"/>
      <c r="L31" s="679"/>
      <c r="M31" s="663">
        <f t="shared" si="0"/>
        <v>0</v>
      </c>
    </row>
    <row r="32" spans="1:13" ht="39.75" customHeight="1" x14ac:dyDescent="0.2">
      <c r="A32" s="675" t="s">
        <v>80</v>
      </c>
      <c r="B32" s="929" t="s">
        <v>696</v>
      </c>
      <c r="C32" s="922" t="s">
        <v>657</v>
      </c>
      <c r="D32" s="679"/>
      <c r="E32" s="679"/>
      <c r="F32" s="679"/>
      <c r="G32" s="679"/>
      <c r="H32" s="679"/>
      <c r="I32" s="679"/>
      <c r="J32" s="679"/>
      <c r="K32" s="679"/>
      <c r="L32" s="679"/>
      <c r="M32" s="663">
        <f t="shared" si="0"/>
        <v>0</v>
      </c>
    </row>
    <row r="33" spans="1:13" ht="25.5" customHeight="1" x14ac:dyDescent="0.2">
      <c r="A33" s="675" t="s">
        <v>82</v>
      </c>
      <c r="B33" s="929" t="s">
        <v>697</v>
      </c>
      <c r="C33" s="922" t="s">
        <v>658</v>
      </c>
      <c r="D33" s="679"/>
      <c r="E33" s="679"/>
      <c r="F33" s="679"/>
      <c r="G33" s="679"/>
      <c r="H33" s="679"/>
      <c r="I33" s="679"/>
      <c r="J33" s="679"/>
      <c r="K33" s="679"/>
      <c r="L33" s="679"/>
      <c r="M33" s="663">
        <f t="shared" si="0"/>
        <v>0</v>
      </c>
    </row>
    <row r="34" spans="1:13" ht="25.5" customHeight="1" x14ac:dyDescent="0.2">
      <c r="A34" s="675" t="s">
        <v>84</v>
      </c>
      <c r="B34" s="929" t="s">
        <v>698</v>
      </c>
      <c r="C34" s="922" t="s">
        <v>659</v>
      </c>
      <c r="D34" s="679"/>
      <c r="E34" s="679"/>
      <c r="F34" s="679"/>
      <c r="G34" s="679"/>
      <c r="H34" s="679"/>
      <c r="I34" s="679"/>
      <c r="J34" s="679"/>
      <c r="K34" s="679"/>
      <c r="L34" s="679"/>
      <c r="M34" s="663">
        <f t="shared" si="0"/>
        <v>0</v>
      </c>
    </row>
    <row r="35" spans="1:13" ht="43.5" customHeight="1" x14ac:dyDescent="0.2">
      <c r="A35" s="675" t="s">
        <v>86</v>
      </c>
      <c r="B35" s="929" t="s">
        <v>699</v>
      </c>
      <c r="C35" s="922" t="s">
        <v>660</v>
      </c>
      <c r="D35" s="679"/>
      <c r="E35" s="679"/>
      <c r="F35" s="679"/>
      <c r="G35" s="679"/>
      <c r="H35" s="679"/>
      <c r="I35" s="679"/>
      <c r="J35" s="679"/>
      <c r="K35" s="679"/>
      <c r="L35" s="679"/>
      <c r="M35" s="663">
        <f t="shared" si="0"/>
        <v>0</v>
      </c>
    </row>
    <row r="36" spans="1:13" ht="53.25" customHeight="1" x14ac:dyDescent="0.2">
      <c r="A36" s="675" t="s">
        <v>89</v>
      </c>
      <c r="B36" s="929" t="s">
        <v>700</v>
      </c>
      <c r="C36" s="922" t="s">
        <v>661</v>
      </c>
      <c r="D36" s="679"/>
      <c r="E36" s="679"/>
      <c r="F36" s="679"/>
      <c r="G36" s="679"/>
      <c r="H36" s="679"/>
      <c r="I36" s="679"/>
      <c r="J36" s="679"/>
      <c r="K36" s="679"/>
      <c r="L36" s="679"/>
      <c r="M36" s="663">
        <f t="shared" si="0"/>
        <v>0</v>
      </c>
    </row>
    <row r="37" spans="1:13" ht="40.5" customHeight="1" x14ac:dyDescent="0.2">
      <c r="A37" s="675" t="s">
        <v>91</v>
      </c>
      <c r="B37" s="929" t="s">
        <v>701</v>
      </c>
      <c r="C37" s="922" t="s">
        <v>662</v>
      </c>
      <c r="D37" s="679"/>
      <c r="E37" s="679"/>
      <c r="F37" s="679"/>
      <c r="G37" s="679"/>
      <c r="H37" s="679"/>
      <c r="I37" s="679"/>
      <c r="J37" s="679"/>
      <c r="K37" s="679"/>
      <c r="L37" s="679"/>
      <c r="M37" s="663">
        <f t="shared" si="0"/>
        <v>0</v>
      </c>
    </row>
    <row r="38" spans="1:13" ht="48" customHeight="1" x14ac:dyDescent="0.2">
      <c r="A38" s="675" t="s">
        <v>93</v>
      </c>
      <c r="B38" s="929" t="s">
        <v>702</v>
      </c>
      <c r="C38" s="922" t="s">
        <v>663</v>
      </c>
      <c r="D38" s="679"/>
      <c r="E38" s="679"/>
      <c r="F38" s="679"/>
      <c r="G38" s="679"/>
      <c r="H38" s="679"/>
      <c r="I38" s="679"/>
      <c r="J38" s="679"/>
      <c r="K38" s="679"/>
      <c r="L38" s="679"/>
      <c r="M38" s="663">
        <f t="shared" si="0"/>
        <v>0</v>
      </c>
    </row>
    <row r="39" spans="1:13" ht="25.5" customHeight="1" x14ac:dyDescent="0.2">
      <c r="A39" s="675" t="s">
        <v>96</v>
      </c>
      <c r="B39" s="929" t="s">
        <v>703</v>
      </c>
      <c r="C39" s="922" t="s">
        <v>664</v>
      </c>
      <c r="D39" s="679"/>
      <c r="E39" s="679"/>
      <c r="F39" s="679"/>
      <c r="G39" s="679"/>
      <c r="H39" s="679"/>
      <c r="I39" s="679"/>
      <c r="J39" s="679"/>
      <c r="K39" s="679"/>
      <c r="L39" s="679"/>
      <c r="M39" s="663">
        <f t="shared" si="0"/>
        <v>0</v>
      </c>
    </row>
    <row r="40" spans="1:13" ht="48.75" customHeight="1" x14ac:dyDescent="0.2">
      <c r="A40" s="675" t="s">
        <v>97</v>
      </c>
      <c r="B40" s="929" t="s">
        <v>704</v>
      </c>
      <c r="C40" s="922" t="s">
        <v>665</v>
      </c>
      <c r="D40" s="679"/>
      <c r="E40" s="679"/>
      <c r="F40" s="679"/>
      <c r="G40" s="679"/>
      <c r="H40" s="679"/>
      <c r="I40" s="679"/>
      <c r="J40" s="679"/>
      <c r="K40" s="679"/>
      <c r="L40" s="679"/>
      <c r="M40" s="663">
        <f t="shared" si="0"/>
        <v>0</v>
      </c>
    </row>
    <row r="41" spans="1:13" ht="40.5" customHeight="1" x14ac:dyDescent="0.2">
      <c r="A41" s="675" t="s">
        <v>98</v>
      </c>
      <c r="B41" s="929" t="s">
        <v>705</v>
      </c>
      <c r="C41" s="922" t="s">
        <v>666</v>
      </c>
      <c r="D41" s="679"/>
      <c r="E41" s="679"/>
      <c r="F41" s="679"/>
      <c r="G41" s="679"/>
      <c r="H41" s="679"/>
      <c r="I41" s="679"/>
      <c r="J41" s="679"/>
      <c r="K41" s="679"/>
      <c r="L41" s="679"/>
      <c r="M41" s="663">
        <f t="shared" si="0"/>
        <v>0</v>
      </c>
    </row>
    <row r="42" spans="1:13" ht="41.25" customHeight="1" x14ac:dyDescent="0.2">
      <c r="A42" s="675" t="s">
        <v>99</v>
      </c>
      <c r="B42" s="929" t="s">
        <v>706</v>
      </c>
      <c r="C42" s="922" t="s">
        <v>667</v>
      </c>
      <c r="D42" s="679"/>
      <c r="E42" s="679"/>
      <c r="F42" s="679"/>
      <c r="G42" s="679"/>
      <c r="H42" s="679"/>
      <c r="I42" s="679"/>
      <c r="J42" s="679"/>
      <c r="K42" s="679"/>
      <c r="L42" s="679"/>
      <c r="M42" s="663">
        <f t="shared" si="0"/>
        <v>0</v>
      </c>
    </row>
    <row r="43" spans="1:13" ht="32.25" customHeight="1" x14ac:dyDescent="0.2">
      <c r="A43" s="675" t="s">
        <v>102</v>
      </c>
      <c r="B43" s="929" t="s">
        <v>707</v>
      </c>
      <c r="C43" s="922" t="s">
        <v>668</v>
      </c>
      <c r="D43" s="679"/>
      <c r="E43" s="679"/>
      <c r="F43" s="679"/>
      <c r="G43" s="679"/>
      <c r="H43" s="679"/>
      <c r="I43" s="679"/>
      <c r="J43" s="679"/>
      <c r="K43" s="679"/>
      <c r="L43" s="679"/>
      <c r="M43" s="663">
        <f t="shared" si="0"/>
        <v>0</v>
      </c>
    </row>
    <row r="44" spans="1:13" ht="30" customHeight="1" x14ac:dyDescent="0.2">
      <c r="A44" s="675" t="s">
        <v>105</v>
      </c>
      <c r="B44" s="929" t="s">
        <v>708</v>
      </c>
      <c r="C44" s="922" t="s">
        <v>669</v>
      </c>
      <c r="D44" s="679"/>
      <c r="E44" s="679"/>
      <c r="F44" s="679"/>
      <c r="G44" s="679"/>
      <c r="H44" s="679"/>
      <c r="I44" s="679"/>
      <c r="J44" s="679"/>
      <c r="K44" s="679"/>
      <c r="L44" s="679"/>
      <c r="M44" s="663">
        <f t="shared" si="0"/>
        <v>0</v>
      </c>
    </row>
    <row r="45" spans="1:13" ht="36.75" customHeight="1" x14ac:dyDescent="0.2">
      <c r="A45" s="675" t="s">
        <v>108</v>
      </c>
      <c r="B45" s="929" t="s">
        <v>623</v>
      </c>
      <c r="C45" s="922" t="s">
        <v>624</v>
      </c>
      <c r="D45" s="679"/>
      <c r="E45" s="679"/>
      <c r="F45" s="679"/>
      <c r="G45" s="679"/>
      <c r="H45" s="679"/>
      <c r="I45" s="679"/>
      <c r="J45" s="679"/>
      <c r="K45" s="679"/>
      <c r="L45" s="679"/>
      <c r="M45" s="663">
        <f t="shared" si="0"/>
        <v>0</v>
      </c>
    </row>
    <row r="46" spans="1:13" ht="45" customHeight="1" x14ac:dyDescent="0.2">
      <c r="A46" s="675" t="s">
        <v>111</v>
      </c>
      <c r="B46" s="929" t="s">
        <v>709</v>
      </c>
      <c r="C46" s="922" t="s">
        <v>670</v>
      </c>
      <c r="D46" s="679"/>
      <c r="E46" s="679"/>
      <c r="F46" s="679"/>
      <c r="G46" s="679"/>
      <c r="H46" s="679"/>
      <c r="I46" s="679"/>
      <c r="J46" s="679"/>
      <c r="K46" s="679"/>
      <c r="L46" s="679"/>
      <c r="M46" s="663">
        <f t="shared" si="0"/>
        <v>0</v>
      </c>
    </row>
    <row r="47" spans="1:13" ht="36.75" customHeight="1" x14ac:dyDescent="0.2">
      <c r="A47" s="675" t="s">
        <v>114</v>
      </c>
      <c r="B47" s="929" t="s">
        <v>710</v>
      </c>
      <c r="C47" s="922" t="s">
        <v>671</v>
      </c>
      <c r="D47" s="679"/>
      <c r="E47" s="679"/>
      <c r="F47" s="679"/>
      <c r="G47" s="679"/>
      <c r="H47" s="679"/>
      <c r="I47" s="679"/>
      <c r="J47" s="679"/>
      <c r="K47" s="679"/>
      <c r="L47" s="679" t="e">
        <f>#REF!</f>
        <v>#REF!</v>
      </c>
      <c r="M47" s="663" t="e">
        <f t="shared" si="0"/>
        <v>#REF!</v>
      </c>
    </row>
    <row r="48" spans="1:13" ht="36.75" customHeight="1" x14ac:dyDescent="0.2">
      <c r="A48" s="675" t="s">
        <v>117</v>
      </c>
      <c r="B48" s="929" t="s">
        <v>712</v>
      </c>
      <c r="C48" s="922" t="s">
        <v>711</v>
      </c>
      <c r="D48" s="679"/>
      <c r="E48" s="679"/>
      <c r="F48" s="679"/>
      <c r="G48" s="679"/>
      <c r="H48" s="679"/>
      <c r="I48" s="679"/>
      <c r="J48" s="679"/>
      <c r="K48" s="679"/>
      <c r="L48" s="679"/>
      <c r="M48" s="663">
        <f t="shared" si="0"/>
        <v>0</v>
      </c>
    </row>
    <row r="49" spans="1:13" ht="36.75" customHeight="1" x14ac:dyDescent="0.2">
      <c r="A49" s="204" t="s">
        <v>120</v>
      </c>
      <c r="B49" s="930" t="s">
        <v>626</v>
      </c>
      <c r="C49" s="926" t="s">
        <v>625</v>
      </c>
      <c r="D49" s="235"/>
      <c r="E49" s="235"/>
      <c r="F49" s="235"/>
      <c r="G49" s="235"/>
      <c r="H49" s="235"/>
      <c r="I49" s="235"/>
      <c r="J49" s="235"/>
      <c r="K49" s="235"/>
      <c r="L49" s="235"/>
      <c r="M49" s="769">
        <f t="shared" si="0"/>
        <v>0</v>
      </c>
    </row>
    <row r="50" spans="1:13" ht="36.75" customHeight="1" x14ac:dyDescent="0.2">
      <c r="A50" s="672" t="s">
        <v>123</v>
      </c>
      <c r="B50" s="664" t="s">
        <v>366</v>
      </c>
      <c r="C50" s="676"/>
      <c r="D50" s="208">
        <f t="shared" ref="D50:M50" si="1">SUM(D4:D49)</f>
        <v>0</v>
      </c>
      <c r="E50" s="208">
        <f t="shared" si="1"/>
        <v>0</v>
      </c>
      <c r="F50" s="208">
        <f t="shared" si="1"/>
        <v>0</v>
      </c>
      <c r="G50" s="208">
        <f t="shared" si="1"/>
        <v>0</v>
      </c>
      <c r="H50" s="208" t="e">
        <f t="shared" si="1"/>
        <v>#REF!</v>
      </c>
      <c r="I50" s="208">
        <f t="shared" si="1"/>
        <v>0</v>
      </c>
      <c r="J50" s="208">
        <f t="shared" si="1"/>
        <v>0</v>
      </c>
      <c r="K50" s="208">
        <f t="shared" si="1"/>
        <v>0</v>
      </c>
      <c r="L50" s="641" t="e">
        <f t="shared" si="1"/>
        <v>#REF!</v>
      </c>
      <c r="M50" s="644" t="e">
        <f t="shared" si="1"/>
        <v>#REF!</v>
      </c>
    </row>
    <row r="54" spans="1:13" x14ac:dyDescent="0.2">
      <c r="F54" s="658"/>
      <c r="H54" s="658"/>
    </row>
  </sheetData>
  <mergeCells count="2">
    <mergeCell ref="A1:M1"/>
    <mergeCell ref="K2:M2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6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L24"/>
  <sheetViews>
    <sheetView workbookViewId="0"/>
  </sheetViews>
  <sheetFormatPr defaultColWidth="9.33203125" defaultRowHeight="12.75" x14ac:dyDescent="0.2"/>
  <cols>
    <col min="1" max="1" width="9.33203125" style="134"/>
    <col min="2" max="2" width="88.83203125" style="134" customWidth="1"/>
    <col min="3" max="3" width="17.83203125" style="134" customWidth="1"/>
    <col min="4" max="12" width="21.5" style="134" customWidth="1"/>
    <col min="13" max="16384" width="9.33203125" style="134"/>
  </cols>
  <sheetData>
    <row r="7" spans="1:12" x14ac:dyDescent="0.2">
      <c r="A7" s="1165"/>
      <c r="B7" s="1166" t="s">
        <v>262</v>
      </c>
      <c r="C7" s="1165" t="s">
        <v>722</v>
      </c>
      <c r="D7" s="1165"/>
      <c r="E7" s="1165"/>
      <c r="F7" s="1165"/>
      <c r="G7" s="1165"/>
      <c r="H7" s="1165"/>
      <c r="I7" s="1165"/>
      <c r="J7" s="1165"/>
      <c r="K7" s="1165"/>
    </row>
    <row r="8" spans="1:12" x14ac:dyDescent="0.2">
      <c r="A8" s="1165"/>
      <c r="B8" s="1167"/>
      <c r="C8" s="1165" t="s">
        <v>412</v>
      </c>
      <c r="D8" s="1165"/>
      <c r="E8" s="1165"/>
      <c r="F8" s="1165"/>
      <c r="G8" s="1165"/>
      <c r="H8" s="1165"/>
      <c r="I8" s="1165"/>
      <c r="J8" s="1165"/>
      <c r="K8" s="1165"/>
    </row>
    <row r="9" spans="1:12" ht="75" x14ac:dyDescent="0.25">
      <c r="A9" s="1165"/>
      <c r="B9" s="1168"/>
      <c r="C9" s="950" t="s">
        <v>781</v>
      </c>
      <c r="D9" s="951" t="s">
        <v>790</v>
      </c>
      <c r="E9" s="951" t="s">
        <v>791</v>
      </c>
      <c r="F9" s="951" t="s">
        <v>792</v>
      </c>
      <c r="G9" s="951" t="s">
        <v>793</v>
      </c>
      <c r="H9" s="951" t="s">
        <v>794</v>
      </c>
      <c r="I9" s="951" t="s">
        <v>795</v>
      </c>
      <c r="J9" s="951" t="s">
        <v>796</v>
      </c>
      <c r="K9" s="987" t="s">
        <v>862</v>
      </c>
      <c r="L9" s="988" t="s">
        <v>863</v>
      </c>
    </row>
    <row r="10" spans="1:12" ht="15.75" x14ac:dyDescent="0.2">
      <c r="A10" s="941" t="s">
        <v>9</v>
      </c>
      <c r="B10" s="942" t="s">
        <v>799</v>
      </c>
      <c r="C10" s="943">
        <f>SUM(D10:K10)</f>
        <v>144194977.43735763</v>
      </c>
      <c r="D10" s="943"/>
      <c r="E10" s="943"/>
      <c r="F10" s="943"/>
      <c r="G10" s="943"/>
      <c r="H10" s="943"/>
      <c r="I10" s="952"/>
      <c r="J10" s="952"/>
      <c r="K10" s="973">
        <f>'[16]201712'!$AB$182+'[16]Összesen 1-11 hó'!$AB$180-K17+L10</f>
        <v>144194977.43735763</v>
      </c>
      <c r="L10" s="134">
        <f>[17]ÖNK!$F$108+[17]ÖNK!$F$115</f>
        <v>116973472.43735763</v>
      </c>
    </row>
    <row r="11" spans="1:12" ht="15.75" x14ac:dyDescent="0.2">
      <c r="A11" s="941" t="s">
        <v>12</v>
      </c>
      <c r="B11" s="942" t="s">
        <v>800</v>
      </c>
      <c r="C11" s="943">
        <f t="shared" ref="C11:C18" si="0">SUM(D11:K11)</f>
        <v>0</v>
      </c>
      <c r="D11" s="943"/>
      <c r="E11" s="943"/>
      <c r="F11" s="943"/>
      <c r="G11" s="943"/>
      <c r="H11" s="943"/>
      <c r="I11" s="952"/>
      <c r="J11" s="952"/>
      <c r="K11" s="952"/>
    </row>
    <row r="12" spans="1:12" ht="15.75" x14ac:dyDescent="0.25">
      <c r="A12" s="941" t="s">
        <v>15</v>
      </c>
      <c r="B12" s="946" t="s">
        <v>785</v>
      </c>
      <c r="C12" s="943">
        <f t="shared" si="0"/>
        <v>0</v>
      </c>
      <c r="D12" s="943"/>
      <c r="E12" s="943"/>
      <c r="F12" s="943"/>
      <c r="G12" s="943"/>
      <c r="H12" s="943"/>
      <c r="I12" s="952"/>
      <c r="J12" s="952"/>
      <c r="K12" s="952"/>
    </row>
    <row r="13" spans="1:12" ht="15.75" x14ac:dyDescent="0.2">
      <c r="A13" s="941" t="s">
        <v>18</v>
      </c>
      <c r="B13" s="942" t="s">
        <v>782</v>
      </c>
      <c r="C13" s="943">
        <f t="shared" si="0"/>
        <v>0</v>
      </c>
      <c r="D13" s="943"/>
      <c r="E13" s="943"/>
      <c r="F13" s="943"/>
      <c r="G13" s="943"/>
      <c r="H13" s="943"/>
      <c r="I13" s="952"/>
      <c r="J13" s="952"/>
      <c r="K13" s="952"/>
    </row>
    <row r="14" spans="1:12" ht="15.75" x14ac:dyDescent="0.2">
      <c r="A14" s="941" t="s">
        <v>21</v>
      </c>
      <c r="B14" s="944" t="s">
        <v>784</v>
      </c>
      <c r="C14" s="943">
        <f t="shared" si="0"/>
        <v>1740000</v>
      </c>
      <c r="D14" s="943"/>
      <c r="E14" s="943"/>
      <c r="F14" s="943"/>
      <c r="G14" s="943"/>
      <c r="H14" s="943"/>
      <c r="I14" s="952"/>
      <c r="J14" s="952"/>
      <c r="K14" s="973">
        <f>[16]Cafetéria!$D$182+L14</f>
        <v>1740000</v>
      </c>
      <c r="L14" s="134">
        <f>[17]ÖNK!$E$141</f>
        <v>1080000</v>
      </c>
    </row>
    <row r="15" spans="1:12" ht="15.75" x14ac:dyDescent="0.2">
      <c r="A15" s="941" t="s">
        <v>24</v>
      </c>
      <c r="B15" s="942" t="s">
        <v>783</v>
      </c>
      <c r="C15" s="943">
        <f t="shared" si="0"/>
        <v>316000</v>
      </c>
      <c r="D15" s="943"/>
      <c r="E15" s="943"/>
      <c r="F15" s="943"/>
      <c r="G15" s="943"/>
      <c r="H15" s="943"/>
      <c r="I15" s="952"/>
      <c r="J15" s="952"/>
      <c r="K15" s="973">
        <f>'[16]Munkába járás'!$C$182</f>
        <v>316000</v>
      </c>
    </row>
    <row r="16" spans="1:12" ht="15.75" x14ac:dyDescent="0.2">
      <c r="A16" s="941" t="s">
        <v>27</v>
      </c>
      <c r="B16" s="942" t="s">
        <v>803</v>
      </c>
      <c r="C16" s="943">
        <f t="shared" si="0"/>
        <v>0</v>
      </c>
      <c r="D16" s="943"/>
      <c r="E16" s="943"/>
      <c r="F16" s="943"/>
      <c r="G16" s="943"/>
      <c r="H16" s="943"/>
      <c r="I16" s="952"/>
      <c r="J16" s="952"/>
      <c r="K16" s="952"/>
    </row>
    <row r="17" spans="1:12" ht="15.75" x14ac:dyDescent="0.2">
      <c r="A17" s="941" t="s">
        <v>30</v>
      </c>
      <c r="B17" s="942" t="s">
        <v>801</v>
      </c>
      <c r="C17" s="943">
        <f t="shared" si="0"/>
        <v>11658260</v>
      </c>
      <c r="D17" s="943"/>
      <c r="E17" s="943"/>
      <c r="F17" s="943"/>
      <c r="G17" s="943"/>
      <c r="H17" s="943"/>
      <c r="I17" s="952"/>
      <c r="J17" s="952"/>
      <c r="K17" s="973">
        <f>'[16]Összesen 1-11 hó'!$F$178+'[16]Összesen 1-11 hó'!$F$177+'[16]Összesen 1-11 hó'!$F$175+'[16]Összesen 1-11 hó'!$F$174+'[16]Összesen 1-11 hó'!$F$173+'[16]Összesen 1-11 hó'!$F$172+'[16]Összesen 1-11 hó'!$U$175+'[16]Összesen 1-11 hó'!$U$178+'[16]201712'!$U$180+'[16]201712'!$F$180+'[16]201712'!$F$177+'[16]201712'!$F$176+'[16]201712'!$F$175+'[16]201712'!$F$174</f>
        <v>11658260</v>
      </c>
    </row>
    <row r="18" spans="1:12" ht="15.75" x14ac:dyDescent="0.2">
      <c r="A18" s="941" t="s">
        <v>33</v>
      </c>
      <c r="B18" s="945" t="s">
        <v>802</v>
      </c>
      <c r="C18" s="943">
        <f t="shared" si="0"/>
        <v>2728560</v>
      </c>
      <c r="D18" s="943"/>
      <c r="E18" s="943"/>
      <c r="F18" s="943"/>
      <c r="G18" s="943"/>
      <c r="H18" s="943"/>
      <c r="I18" s="952"/>
      <c r="J18" s="952"/>
      <c r="K18" s="973">
        <f>'[16]Megbízási díj'!$C$2+'[16]Megbízási díj'!$C$3</f>
        <v>2728560</v>
      </c>
    </row>
    <row r="19" spans="1:12" ht="15.75" x14ac:dyDescent="0.2">
      <c r="A19" s="941" t="s">
        <v>59</v>
      </c>
      <c r="B19" s="947" t="s">
        <v>798</v>
      </c>
      <c r="C19" s="948">
        <f t="shared" ref="C19:K19" si="1">SUM(C10:C18)</f>
        <v>160637797.43735763</v>
      </c>
      <c r="D19" s="948">
        <f t="shared" si="1"/>
        <v>0</v>
      </c>
      <c r="E19" s="948">
        <f t="shared" si="1"/>
        <v>0</v>
      </c>
      <c r="F19" s="948">
        <f t="shared" si="1"/>
        <v>0</v>
      </c>
      <c r="G19" s="948">
        <f t="shared" si="1"/>
        <v>0</v>
      </c>
      <c r="H19" s="948">
        <f t="shared" si="1"/>
        <v>0</v>
      </c>
      <c r="I19" s="948">
        <f t="shared" si="1"/>
        <v>0</v>
      </c>
      <c r="J19" s="948"/>
      <c r="K19" s="948">
        <f t="shared" si="1"/>
        <v>160637797.43735763</v>
      </c>
    </row>
    <row r="20" spans="1:12" ht="15.75" x14ac:dyDescent="0.2">
      <c r="A20" s="941" t="s">
        <v>61</v>
      </c>
      <c r="B20" s="942" t="s">
        <v>787</v>
      </c>
      <c r="C20" s="943">
        <f>SUM(D20:K20)</f>
        <v>19585876.062642369</v>
      </c>
      <c r="D20" s="943"/>
      <c r="E20" s="943"/>
      <c r="F20" s="943"/>
      <c r="G20" s="943"/>
      <c r="H20" s="943"/>
      <c r="I20" s="952"/>
      <c r="J20" s="952"/>
      <c r="K20" s="973">
        <f>'[16]Összesen 1-11 hó'!$AH$180+'[16]201712'!$AH$182+'[16]Megbízási díj'!$D$2+'[16]Megbízási díj'!$D$3+L20</f>
        <v>19585876.062642369</v>
      </c>
      <c r="L20" s="134">
        <f>[17]ÖNK!$F$109+[17]ÖNK!$F$116</f>
        <v>11404913.562642369</v>
      </c>
    </row>
    <row r="21" spans="1:12" ht="15.75" x14ac:dyDescent="0.2">
      <c r="A21" s="941" t="s">
        <v>63</v>
      </c>
      <c r="B21" s="942" t="s">
        <v>789</v>
      </c>
      <c r="C21" s="943">
        <f t="shared" ref="C21:C23" si="2">SUM(D21:K21)</f>
        <v>109032.00000000001</v>
      </c>
      <c r="D21" s="943"/>
      <c r="E21" s="943"/>
      <c r="F21" s="943"/>
      <c r="G21" s="943"/>
      <c r="H21" s="943"/>
      <c r="I21" s="952"/>
      <c r="J21" s="952"/>
      <c r="K21" s="973">
        <f>[16]Cafetéria!$F$182</f>
        <v>109032.00000000001</v>
      </c>
    </row>
    <row r="22" spans="1:12" ht="15.75" x14ac:dyDescent="0.2">
      <c r="A22" s="941"/>
      <c r="B22" s="942" t="s">
        <v>788</v>
      </c>
      <c r="C22" s="943">
        <f>SUM(D22:K22)</f>
        <v>116820</v>
      </c>
      <c r="D22" s="943"/>
      <c r="E22" s="943"/>
      <c r="F22" s="943"/>
      <c r="G22" s="943"/>
      <c r="H22" s="943"/>
      <c r="I22" s="952"/>
      <c r="J22" s="952"/>
      <c r="K22" s="973">
        <f>[16]Cafetéria!$E$182</f>
        <v>116820</v>
      </c>
    </row>
    <row r="23" spans="1:12" ht="15.75" x14ac:dyDescent="0.2">
      <c r="A23" s="941" t="s">
        <v>65</v>
      </c>
      <c r="B23" s="942" t="s">
        <v>797</v>
      </c>
      <c r="C23" s="943">
        <f t="shared" si="2"/>
        <v>0</v>
      </c>
      <c r="D23" s="943"/>
      <c r="E23" s="943"/>
      <c r="F23" s="943"/>
      <c r="G23" s="943"/>
      <c r="H23" s="943"/>
      <c r="I23" s="952"/>
      <c r="J23" s="952"/>
      <c r="K23" s="952"/>
    </row>
    <row r="24" spans="1:12" ht="15.75" x14ac:dyDescent="0.2">
      <c r="A24" s="941" t="s">
        <v>67</v>
      </c>
      <c r="B24" s="947" t="s">
        <v>786</v>
      </c>
      <c r="C24" s="948">
        <f>SUM(C20:C23)</f>
        <v>19811728.062642369</v>
      </c>
      <c r="D24" s="948">
        <f t="shared" ref="D24:K24" si="3">SUM(D20:D23)</f>
        <v>0</v>
      </c>
      <c r="E24" s="948">
        <f t="shared" si="3"/>
        <v>0</v>
      </c>
      <c r="F24" s="948">
        <f t="shared" si="3"/>
        <v>0</v>
      </c>
      <c r="G24" s="948">
        <f t="shared" si="3"/>
        <v>0</v>
      </c>
      <c r="H24" s="948">
        <f t="shared" si="3"/>
        <v>0</v>
      </c>
      <c r="I24" s="948">
        <f t="shared" si="3"/>
        <v>0</v>
      </c>
      <c r="J24" s="948"/>
      <c r="K24" s="948">
        <f t="shared" si="3"/>
        <v>19811728.062642369</v>
      </c>
    </row>
  </sheetData>
  <mergeCells count="4">
    <mergeCell ref="A7:A9"/>
    <mergeCell ref="B7:B9"/>
    <mergeCell ref="C7:K7"/>
    <mergeCell ref="C8:K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7:U78"/>
  <sheetViews>
    <sheetView topLeftCell="A16" zoomScale="85" zoomScaleNormal="85" workbookViewId="0">
      <selection activeCell="L13" sqref="L13:L28"/>
    </sheetView>
  </sheetViews>
  <sheetFormatPr defaultRowHeight="12.75" x14ac:dyDescent="0.2"/>
  <cols>
    <col min="3" max="3" width="88.83203125" customWidth="1"/>
    <col min="4" max="4" width="17.83203125" customWidth="1"/>
    <col min="5" max="9" width="21.5" hidden="1" customWidth="1"/>
    <col min="10" max="11" width="21.5" customWidth="1"/>
    <col min="12" max="12" width="25.33203125" customWidth="1"/>
    <col min="13" max="13" width="24.5" bestFit="1" customWidth="1"/>
    <col min="14" max="21" width="25.83203125" customWidth="1"/>
  </cols>
  <sheetData>
    <row r="7" spans="2:21" x14ac:dyDescent="0.2">
      <c r="U7" s="953"/>
    </row>
    <row r="8" spans="2:21" x14ac:dyDescent="0.2">
      <c r="U8" s="953"/>
    </row>
    <row r="9" spans="2:21" x14ac:dyDescent="0.2">
      <c r="U9" s="953"/>
    </row>
    <row r="10" spans="2:21" x14ac:dyDescent="0.2">
      <c r="B10" s="1165"/>
      <c r="C10" s="1166" t="s">
        <v>262</v>
      </c>
      <c r="D10" s="1165" t="s">
        <v>722</v>
      </c>
      <c r="E10" s="1165"/>
      <c r="F10" s="1165"/>
      <c r="G10" s="1165"/>
      <c r="H10" s="1165"/>
      <c r="I10" s="1165"/>
      <c r="J10" s="1165"/>
      <c r="K10" s="1165"/>
      <c r="U10" s="953"/>
    </row>
    <row r="11" spans="2:21" ht="12.75" customHeight="1" x14ac:dyDescent="0.2">
      <c r="B11" s="1165"/>
      <c r="C11" s="1167"/>
      <c r="D11" s="1165" t="s">
        <v>413</v>
      </c>
      <c r="E11" s="1165"/>
      <c r="F11" s="1165"/>
      <c r="G11" s="1165"/>
      <c r="H11" s="1165"/>
      <c r="I11" s="1165"/>
      <c r="J11" s="1165"/>
      <c r="K11" s="1165"/>
      <c r="U11" s="953"/>
    </row>
    <row r="12" spans="2:21" ht="93.75" customHeight="1" x14ac:dyDescent="0.25">
      <c r="B12" s="1165"/>
      <c r="C12" s="1168"/>
      <c r="D12" s="950" t="s">
        <v>781</v>
      </c>
      <c r="E12" s="951"/>
      <c r="F12" s="951"/>
      <c r="G12" s="951"/>
      <c r="H12" s="951"/>
      <c r="I12" s="951"/>
      <c r="J12" s="951"/>
      <c r="K12" s="951" t="s">
        <v>864</v>
      </c>
      <c r="M12" t="s">
        <v>849</v>
      </c>
      <c r="U12" s="953"/>
    </row>
    <row r="13" spans="2:21" ht="15.75" x14ac:dyDescent="0.2">
      <c r="B13" s="941"/>
      <c r="C13" s="955" t="s">
        <v>804</v>
      </c>
      <c r="D13" s="943">
        <f>SUM(E13:K13)</f>
        <v>2900</v>
      </c>
      <c r="E13" s="943"/>
      <c r="F13" s="943"/>
      <c r="G13" s="943"/>
      <c r="H13" s="943"/>
      <c r="I13" s="943"/>
      <c r="J13" s="952"/>
      <c r="K13" s="983">
        <f>M13+N13</f>
        <v>2900</v>
      </c>
      <c r="M13" s="962">
        <f>2900</f>
        <v>2900</v>
      </c>
      <c r="N13" s="962"/>
      <c r="O13" s="962"/>
      <c r="P13" s="962"/>
      <c r="Q13" s="962"/>
      <c r="R13" s="962"/>
      <c r="S13" s="962"/>
      <c r="U13" s="953"/>
    </row>
    <row r="14" spans="2:21" ht="15.75" x14ac:dyDescent="0.2">
      <c r="B14" s="941"/>
      <c r="C14" s="955" t="s">
        <v>805</v>
      </c>
      <c r="D14" s="943">
        <f t="shared" ref="D14:D26" si="0">SUM(E14:K14)</f>
        <v>21414181</v>
      </c>
      <c r="E14" s="943"/>
      <c r="F14" s="943"/>
      <c r="G14" s="943"/>
      <c r="H14" s="943"/>
      <c r="I14" s="943"/>
      <c r="J14" s="952"/>
      <c r="K14" s="983">
        <f t="shared" ref="K14:K32" si="1">M14+N14</f>
        <v>21414181</v>
      </c>
      <c r="L14">
        <v>-3000000</v>
      </c>
      <c r="M14" s="962">
        <f>1365456-140070</f>
        <v>1225386</v>
      </c>
      <c r="N14" s="962">
        <f>18220291+1968504</f>
        <v>20188795</v>
      </c>
      <c r="O14" s="962"/>
      <c r="P14" s="962"/>
      <c r="Q14" s="962"/>
      <c r="R14" s="962"/>
      <c r="S14" s="962"/>
      <c r="U14" s="953"/>
    </row>
    <row r="15" spans="2:21" ht="15.75" x14ac:dyDescent="0.2">
      <c r="B15" s="941"/>
      <c r="C15" s="955" t="s">
        <v>817</v>
      </c>
      <c r="D15" s="943">
        <f t="shared" si="0"/>
        <v>0</v>
      </c>
      <c r="E15" s="943"/>
      <c r="F15" s="943"/>
      <c r="G15" s="943"/>
      <c r="H15" s="943"/>
      <c r="I15" s="943"/>
      <c r="J15" s="952"/>
      <c r="K15" s="983">
        <f t="shared" si="1"/>
        <v>0</v>
      </c>
      <c r="M15" s="962"/>
      <c r="N15" s="962"/>
      <c r="O15" s="962"/>
      <c r="P15" s="962"/>
      <c r="Q15" s="962"/>
      <c r="R15" s="962"/>
      <c r="S15" s="962"/>
      <c r="U15" s="953"/>
    </row>
    <row r="16" spans="2:21" ht="15.75" x14ac:dyDescent="0.2">
      <c r="B16" s="941"/>
      <c r="C16" s="955" t="s">
        <v>806</v>
      </c>
      <c r="D16" s="943">
        <f t="shared" si="0"/>
        <v>787402</v>
      </c>
      <c r="E16" s="943"/>
      <c r="F16" s="943"/>
      <c r="G16" s="943"/>
      <c r="H16" s="943"/>
      <c r="I16" s="943"/>
      <c r="J16" s="952"/>
      <c r="K16" s="983">
        <f t="shared" si="1"/>
        <v>787402</v>
      </c>
      <c r="M16" s="962"/>
      <c r="N16" s="962">
        <v>787402</v>
      </c>
      <c r="O16" s="962"/>
      <c r="P16" s="962"/>
      <c r="Q16" s="962"/>
      <c r="R16" s="962"/>
      <c r="S16" s="962"/>
      <c r="U16" s="953"/>
    </row>
    <row r="17" spans="2:21" ht="15.75" x14ac:dyDescent="0.2">
      <c r="B17" s="941"/>
      <c r="C17" s="955" t="s">
        <v>807</v>
      </c>
      <c r="D17" s="943">
        <f t="shared" si="0"/>
        <v>347224</v>
      </c>
      <c r="E17" s="943"/>
      <c r="F17" s="943"/>
      <c r="G17" s="943"/>
      <c r="H17" s="943"/>
      <c r="I17" s="943"/>
      <c r="J17" s="952"/>
      <c r="K17" s="983">
        <f t="shared" si="1"/>
        <v>347224</v>
      </c>
      <c r="M17" s="962">
        <f>111004</f>
        <v>111004</v>
      </c>
      <c r="N17" s="962">
        <v>236220</v>
      </c>
      <c r="O17" s="962"/>
      <c r="P17" s="962"/>
      <c r="Q17" s="962"/>
      <c r="R17" s="962"/>
      <c r="S17" s="962"/>
      <c r="U17" s="953"/>
    </row>
    <row r="18" spans="2:21" s="967" customFormat="1" ht="15.75" x14ac:dyDescent="0.2">
      <c r="B18" s="964"/>
      <c r="C18" s="955" t="s">
        <v>857</v>
      </c>
      <c r="D18" s="965">
        <f t="shared" si="0"/>
        <v>6426765</v>
      </c>
      <c r="E18" s="965"/>
      <c r="F18" s="965"/>
      <c r="G18" s="965"/>
      <c r="H18" s="965"/>
      <c r="I18" s="965"/>
      <c r="J18" s="966"/>
      <c r="K18" s="983">
        <f t="shared" si="1"/>
        <v>6426765</v>
      </c>
      <c r="M18" s="970">
        <v>757474</v>
      </c>
      <c r="N18" s="970">
        <v>5669291</v>
      </c>
      <c r="O18" s="970"/>
      <c r="P18" s="970"/>
      <c r="Q18" s="970"/>
      <c r="R18" s="970"/>
      <c r="S18" s="970"/>
      <c r="U18" s="968"/>
    </row>
    <row r="19" spans="2:21" s="967" customFormat="1" ht="15.75" x14ac:dyDescent="0.2">
      <c r="B19" s="964"/>
      <c r="C19" s="955" t="s">
        <v>858</v>
      </c>
      <c r="D19" s="965">
        <f t="shared" si="0"/>
        <v>2649183.7244094489</v>
      </c>
      <c r="E19" s="965"/>
      <c r="F19" s="965"/>
      <c r="G19" s="965"/>
      <c r="H19" s="965"/>
      <c r="I19" s="965"/>
      <c r="J19" s="966"/>
      <c r="K19" s="983">
        <f t="shared" si="1"/>
        <v>2649183.7244094489</v>
      </c>
      <c r="M19" s="970">
        <v>286979</v>
      </c>
      <c r="N19" s="970">
        <v>2362204.7244094489</v>
      </c>
      <c r="O19" s="970"/>
      <c r="P19" s="970"/>
      <c r="Q19" s="970"/>
      <c r="R19" s="970"/>
      <c r="S19" s="970"/>
      <c r="U19" s="968"/>
    </row>
    <row r="20" spans="2:21" s="967" customFormat="1" ht="15.75" x14ac:dyDescent="0.2">
      <c r="B20" s="964"/>
      <c r="C20" s="955" t="s">
        <v>859</v>
      </c>
      <c r="D20" s="965">
        <f t="shared" si="0"/>
        <v>890466.57480314956</v>
      </c>
      <c r="E20" s="965"/>
      <c r="F20" s="965"/>
      <c r="G20" s="965"/>
      <c r="H20" s="965"/>
      <c r="I20" s="965"/>
      <c r="J20" s="966"/>
      <c r="K20" s="983">
        <f t="shared" si="1"/>
        <v>890466.57480314956</v>
      </c>
      <c r="M20" s="970">
        <v>103065</v>
      </c>
      <c r="N20" s="970">
        <v>787401.57480314956</v>
      </c>
      <c r="O20" s="970"/>
      <c r="P20" s="970"/>
      <c r="Q20" s="970"/>
      <c r="R20" s="970"/>
      <c r="S20" s="970"/>
      <c r="U20" s="968"/>
    </row>
    <row r="21" spans="2:21" ht="15.75" x14ac:dyDescent="0.2">
      <c r="B21" s="941"/>
      <c r="C21" s="955" t="s">
        <v>808</v>
      </c>
      <c r="D21" s="943">
        <f t="shared" si="0"/>
        <v>835162</v>
      </c>
      <c r="E21" s="943"/>
      <c r="F21" s="943"/>
      <c r="G21" s="943"/>
      <c r="H21" s="943"/>
      <c r="I21" s="943"/>
      <c r="J21" s="952"/>
      <c r="K21" s="983">
        <f t="shared" si="1"/>
        <v>835162</v>
      </c>
      <c r="M21" s="962">
        <v>835162</v>
      </c>
      <c r="N21" s="962"/>
      <c r="O21" s="962"/>
      <c r="P21" s="962"/>
      <c r="Q21" s="962"/>
      <c r="R21" s="962"/>
      <c r="S21" s="962"/>
      <c r="U21" s="953"/>
    </row>
    <row r="22" spans="2:21" ht="15.75" x14ac:dyDescent="0.2">
      <c r="B22" s="941"/>
      <c r="C22" s="955" t="s">
        <v>818</v>
      </c>
      <c r="D22" s="943">
        <f t="shared" si="0"/>
        <v>0</v>
      </c>
      <c r="E22" s="943"/>
      <c r="F22" s="943"/>
      <c r="G22" s="943"/>
      <c r="H22" s="943"/>
      <c r="I22" s="943"/>
      <c r="J22" s="952"/>
      <c r="K22" s="983">
        <f t="shared" si="1"/>
        <v>0</v>
      </c>
      <c r="M22" s="962"/>
      <c r="N22" s="962"/>
      <c r="O22" s="962"/>
      <c r="P22" s="962"/>
      <c r="Q22" s="962"/>
      <c r="R22" s="962"/>
      <c r="S22" s="962"/>
      <c r="U22" s="953"/>
    </row>
    <row r="23" spans="2:21" ht="15.75" x14ac:dyDescent="0.2">
      <c r="B23" s="941"/>
      <c r="C23" s="955" t="s">
        <v>809</v>
      </c>
      <c r="D23" s="943">
        <f t="shared" si="0"/>
        <v>3180609</v>
      </c>
      <c r="E23" s="943"/>
      <c r="F23" s="943"/>
      <c r="G23" s="943"/>
      <c r="H23" s="943"/>
      <c r="I23" s="943"/>
      <c r="J23" s="952"/>
      <c r="K23" s="983">
        <f t="shared" si="1"/>
        <v>3180609</v>
      </c>
      <c r="M23" s="962">
        <v>9475</v>
      </c>
      <c r="N23" s="962">
        <v>3171134</v>
      </c>
      <c r="O23" s="962"/>
      <c r="P23" s="962"/>
      <c r="Q23" s="962"/>
      <c r="R23" s="962"/>
      <c r="S23" s="962"/>
      <c r="U23" s="953"/>
    </row>
    <row r="24" spans="2:21" ht="15.75" x14ac:dyDescent="0.2">
      <c r="B24" s="941"/>
      <c r="C24" s="955" t="s">
        <v>819</v>
      </c>
      <c r="D24" s="943">
        <f t="shared" si="0"/>
        <v>1348819</v>
      </c>
      <c r="E24" s="943"/>
      <c r="F24" s="943"/>
      <c r="G24" s="943"/>
      <c r="H24" s="943"/>
      <c r="I24" s="943"/>
      <c r="J24" s="952"/>
      <c r="K24" s="983">
        <f t="shared" si="1"/>
        <v>1348819</v>
      </c>
      <c r="M24" s="962">
        <v>1348819</v>
      </c>
      <c r="O24" s="962"/>
      <c r="P24" s="962"/>
      <c r="Q24" s="962"/>
      <c r="R24" s="962"/>
      <c r="S24" s="962"/>
      <c r="U24" s="953"/>
    </row>
    <row r="25" spans="2:21" ht="15.75" x14ac:dyDescent="0.2">
      <c r="B25" s="941"/>
      <c r="C25" s="955" t="s">
        <v>810</v>
      </c>
      <c r="D25" s="943">
        <f t="shared" si="0"/>
        <v>14107069</v>
      </c>
      <c r="E25" s="943"/>
      <c r="F25" s="943"/>
      <c r="G25" s="943"/>
      <c r="H25" s="943"/>
      <c r="I25" s="943"/>
      <c r="J25" s="952"/>
      <c r="K25" s="983">
        <f t="shared" si="1"/>
        <v>14107069</v>
      </c>
      <c r="L25">
        <v>-1000000</v>
      </c>
      <c r="M25" s="962">
        <f>679100</f>
        <v>679100</v>
      </c>
      <c r="N25" s="962">
        <v>13427969</v>
      </c>
      <c r="O25" s="962"/>
      <c r="P25" s="962"/>
      <c r="Q25" s="962"/>
      <c r="R25" s="962"/>
      <c r="S25" s="962"/>
      <c r="U25" s="953"/>
    </row>
    <row r="26" spans="2:21" ht="15.75" x14ac:dyDescent="0.2">
      <c r="B26" s="941"/>
      <c r="C26" s="955" t="s">
        <v>811</v>
      </c>
      <c r="D26" s="943">
        <f t="shared" si="0"/>
        <v>10850897</v>
      </c>
      <c r="E26" s="943"/>
      <c r="F26" s="943"/>
      <c r="G26" s="943"/>
      <c r="H26" s="943"/>
      <c r="I26" s="943"/>
      <c r="J26" s="952"/>
      <c r="K26" s="983">
        <f t="shared" si="1"/>
        <v>10850897</v>
      </c>
      <c r="M26" s="962">
        <f>155422</f>
        <v>155422</v>
      </c>
      <c r="N26" s="962">
        <f>11246656+78740-629921</f>
        <v>10695475</v>
      </c>
      <c r="O26" s="962"/>
      <c r="P26" s="962"/>
      <c r="Q26" s="962"/>
      <c r="R26" s="962"/>
      <c r="S26" s="962"/>
      <c r="U26" s="953"/>
    </row>
    <row r="27" spans="2:21" ht="15.75" x14ac:dyDescent="0.2">
      <c r="B27" s="941"/>
      <c r="C27" s="955" t="s">
        <v>812</v>
      </c>
      <c r="D27" s="943">
        <f t="shared" ref="D27:D32" si="2">SUM(E27:K27)</f>
        <v>0</v>
      </c>
      <c r="E27" s="943"/>
      <c r="F27" s="943"/>
      <c r="G27" s="943"/>
      <c r="H27" s="943"/>
      <c r="I27" s="943"/>
      <c r="J27" s="952"/>
      <c r="K27" s="983">
        <f t="shared" si="1"/>
        <v>0</v>
      </c>
      <c r="M27" s="962"/>
      <c r="N27" s="962"/>
      <c r="O27" s="962"/>
      <c r="P27" s="962"/>
      <c r="Q27" s="962"/>
      <c r="R27" s="962"/>
      <c r="S27" s="962"/>
      <c r="U27" s="953"/>
    </row>
    <row r="28" spans="2:21" ht="15.75" x14ac:dyDescent="0.2">
      <c r="B28" s="941"/>
      <c r="C28" s="955" t="s">
        <v>813</v>
      </c>
      <c r="D28" s="943">
        <f t="shared" si="2"/>
        <v>16201873</v>
      </c>
      <c r="E28" s="943"/>
      <c r="F28" s="943"/>
      <c r="G28" s="943"/>
      <c r="H28" s="943"/>
      <c r="I28" s="943"/>
      <c r="J28" s="952"/>
      <c r="K28" s="989">
        <f>SUM(M28:AE28)</f>
        <v>16201873</v>
      </c>
      <c r="L28">
        <f>L14*0.27+L25*0.27</f>
        <v>-1080000</v>
      </c>
      <c r="M28" s="962">
        <f>312739+1047662</f>
        <v>1360401</v>
      </c>
      <c r="N28" s="962">
        <f>15011551-170079</f>
        <v>14841472</v>
      </c>
      <c r="O28" s="962"/>
      <c r="P28" s="962"/>
      <c r="Q28" s="962"/>
      <c r="R28" s="962"/>
      <c r="S28" s="962"/>
      <c r="T28" s="962"/>
      <c r="U28" s="953"/>
    </row>
    <row r="29" spans="2:21" ht="15.75" x14ac:dyDescent="0.2">
      <c r="B29" s="941"/>
      <c r="C29" s="955" t="s">
        <v>814</v>
      </c>
      <c r="D29" s="943">
        <f t="shared" si="2"/>
        <v>0</v>
      </c>
      <c r="E29" s="943"/>
      <c r="F29" s="943"/>
      <c r="G29" s="943"/>
      <c r="H29" s="943"/>
      <c r="I29" s="943"/>
      <c r="J29" s="952"/>
      <c r="K29" s="983">
        <f t="shared" si="1"/>
        <v>0</v>
      </c>
      <c r="M29" s="962"/>
      <c r="N29" s="962"/>
      <c r="O29" s="962"/>
      <c r="P29" s="962"/>
      <c r="Q29" s="962"/>
      <c r="R29" s="962"/>
      <c r="S29" s="962"/>
      <c r="U29" s="953"/>
    </row>
    <row r="30" spans="2:21" ht="15.75" x14ac:dyDescent="0.2">
      <c r="B30" s="941"/>
      <c r="C30" s="955" t="s">
        <v>820</v>
      </c>
      <c r="D30" s="943">
        <f t="shared" si="2"/>
        <v>200000</v>
      </c>
      <c r="E30" s="943"/>
      <c r="F30" s="943"/>
      <c r="G30" s="943"/>
      <c r="H30" s="943"/>
      <c r="I30" s="943"/>
      <c r="J30" s="952"/>
      <c r="K30" s="983">
        <f t="shared" si="1"/>
        <v>200000</v>
      </c>
      <c r="M30" s="962"/>
      <c r="N30" s="962">
        <v>200000</v>
      </c>
      <c r="O30" s="962"/>
      <c r="P30" s="962"/>
      <c r="Q30" s="962"/>
      <c r="R30" s="962"/>
      <c r="S30" s="962"/>
      <c r="U30" s="953"/>
    </row>
    <row r="31" spans="2:21" ht="15.75" x14ac:dyDescent="0.2">
      <c r="B31" s="941"/>
      <c r="C31" s="955" t="s">
        <v>821</v>
      </c>
      <c r="D31" s="943">
        <f t="shared" si="2"/>
        <v>0</v>
      </c>
      <c r="E31" s="943"/>
      <c r="F31" s="943"/>
      <c r="G31" s="943"/>
      <c r="H31" s="943"/>
      <c r="I31" s="943"/>
      <c r="J31" s="952"/>
      <c r="K31" s="983">
        <f t="shared" si="1"/>
        <v>0</v>
      </c>
      <c r="M31" s="962"/>
      <c r="N31" s="962"/>
      <c r="O31" s="962"/>
      <c r="P31" s="962"/>
      <c r="Q31" s="962"/>
      <c r="R31" s="962"/>
      <c r="S31" s="962"/>
      <c r="U31" s="953"/>
    </row>
    <row r="32" spans="2:21" ht="15.75" x14ac:dyDescent="0.2">
      <c r="B32" s="941"/>
      <c r="C32" s="955" t="s">
        <v>815</v>
      </c>
      <c r="D32" s="943">
        <f t="shared" si="2"/>
        <v>300000</v>
      </c>
      <c r="E32" s="943"/>
      <c r="F32" s="943"/>
      <c r="G32" s="943"/>
      <c r="H32" s="943"/>
      <c r="I32" s="943"/>
      <c r="J32" s="952"/>
      <c r="K32" s="983">
        <f t="shared" si="1"/>
        <v>300000</v>
      </c>
      <c r="M32" s="962"/>
      <c r="N32" s="962">
        <v>300000</v>
      </c>
      <c r="O32" s="962"/>
      <c r="P32" s="962"/>
      <c r="Q32" s="962"/>
      <c r="R32" s="962"/>
      <c r="S32" s="962"/>
      <c r="U32" s="953"/>
    </row>
    <row r="33" spans="2:21" ht="15.75" x14ac:dyDescent="0.2">
      <c r="B33" s="941"/>
      <c r="C33" s="947" t="s">
        <v>816</v>
      </c>
      <c r="D33" s="948">
        <f t="shared" ref="D33:K33" si="3">SUM(D13:D32)</f>
        <v>79542551.299212605</v>
      </c>
      <c r="E33" s="948">
        <f t="shared" si="3"/>
        <v>0</v>
      </c>
      <c r="F33" s="948">
        <f t="shared" si="3"/>
        <v>0</v>
      </c>
      <c r="G33" s="948">
        <f t="shared" si="3"/>
        <v>0</v>
      </c>
      <c r="H33" s="948">
        <f t="shared" si="3"/>
        <v>0</v>
      </c>
      <c r="I33" s="948">
        <f t="shared" si="3"/>
        <v>0</v>
      </c>
      <c r="J33" s="948">
        <f t="shared" si="3"/>
        <v>0</v>
      </c>
      <c r="K33" s="948">
        <f t="shared" si="3"/>
        <v>79542551.299212605</v>
      </c>
      <c r="M33" s="962"/>
      <c r="N33" s="962"/>
      <c r="O33" s="962"/>
      <c r="P33" s="962"/>
      <c r="Q33" s="962"/>
      <c r="R33" s="962"/>
      <c r="S33" s="962"/>
      <c r="U33" s="953"/>
    </row>
    <row r="34" spans="2:21" x14ac:dyDescent="0.2">
      <c r="M34" s="962"/>
      <c r="N34" s="962"/>
      <c r="O34" s="962"/>
      <c r="P34" s="962"/>
      <c r="Q34" s="962"/>
      <c r="R34" s="962"/>
      <c r="S34" s="962"/>
      <c r="U34" s="953"/>
    </row>
    <row r="35" spans="2:21" x14ac:dyDescent="0.2">
      <c r="M35" s="962"/>
      <c r="N35" s="962"/>
      <c r="O35" s="962"/>
      <c r="P35" s="962"/>
      <c r="Q35" s="962"/>
      <c r="R35" s="962"/>
      <c r="S35" s="962"/>
      <c r="U35" s="953"/>
    </row>
    <row r="36" spans="2:21" x14ac:dyDescent="0.2">
      <c r="M36" s="962"/>
      <c r="N36" s="962"/>
      <c r="O36" s="962"/>
      <c r="P36" s="962"/>
      <c r="Q36" s="962"/>
      <c r="R36" s="962"/>
      <c r="S36" s="962"/>
      <c r="U36" s="954"/>
    </row>
    <row r="37" spans="2:21" x14ac:dyDescent="0.2">
      <c r="B37" s="1165"/>
      <c r="C37" s="1166" t="s">
        <v>262</v>
      </c>
      <c r="D37" s="1165" t="s">
        <v>722</v>
      </c>
      <c r="E37" s="1165"/>
      <c r="F37" s="1165"/>
      <c r="G37" s="1165"/>
      <c r="H37" s="1165"/>
      <c r="I37" s="1165"/>
      <c r="J37" s="1165"/>
      <c r="K37" s="1165"/>
      <c r="M37" s="962"/>
      <c r="N37" s="962"/>
      <c r="O37" s="962"/>
      <c r="P37" s="962"/>
      <c r="Q37" s="962"/>
      <c r="R37" s="962"/>
      <c r="S37" s="962"/>
    </row>
    <row r="38" spans="2:21" x14ac:dyDescent="0.2">
      <c r="B38" s="1165"/>
      <c r="C38" s="1167"/>
      <c r="D38" s="1165" t="s">
        <v>824</v>
      </c>
      <c r="E38" s="1165"/>
      <c r="F38" s="1165"/>
      <c r="G38" s="1165"/>
      <c r="H38" s="1165"/>
      <c r="I38" s="1165"/>
      <c r="J38" s="1165"/>
      <c r="K38" s="1165"/>
      <c r="M38" s="962"/>
      <c r="N38" s="962"/>
      <c r="O38" s="962"/>
      <c r="P38" s="962"/>
      <c r="Q38" s="962"/>
      <c r="R38" s="962"/>
      <c r="S38" s="962"/>
    </row>
    <row r="39" spans="2:21" ht="60" customHeight="1" x14ac:dyDescent="0.25">
      <c r="B39" s="1165"/>
      <c r="C39" s="1168"/>
      <c r="D39" s="950" t="s">
        <v>781</v>
      </c>
      <c r="E39" s="951"/>
      <c r="F39" s="951"/>
      <c r="G39" s="951"/>
      <c r="H39" s="951"/>
      <c r="I39" s="951"/>
      <c r="J39" s="951"/>
      <c r="K39" s="951"/>
      <c r="M39" s="962"/>
      <c r="N39" s="962"/>
      <c r="O39" s="962"/>
      <c r="P39" s="962"/>
      <c r="Q39" s="962"/>
      <c r="R39" s="962"/>
      <c r="S39" s="962"/>
    </row>
    <row r="40" spans="2:21" ht="15.75" x14ac:dyDescent="0.2">
      <c r="B40" s="941"/>
      <c r="C40" s="955" t="s">
        <v>825</v>
      </c>
      <c r="D40" s="943">
        <f>SUM(E40:K40)</f>
        <v>6589200</v>
      </c>
      <c r="E40" s="943"/>
      <c r="F40" s="943"/>
      <c r="G40" s="943"/>
      <c r="H40" s="943"/>
      <c r="I40" s="943"/>
      <c r="J40" s="952"/>
      <c r="K40" s="983">
        <f>M40+N40</f>
        <v>6589200</v>
      </c>
      <c r="M40" s="962"/>
      <c r="N40" s="962">
        <v>6589200</v>
      </c>
      <c r="O40" s="962"/>
      <c r="P40" s="962"/>
      <c r="Q40" s="962"/>
      <c r="R40" s="962"/>
      <c r="S40" s="962"/>
    </row>
    <row r="41" spans="2:21" ht="15.75" x14ac:dyDescent="0.2">
      <c r="B41" s="941"/>
      <c r="C41" s="955" t="s">
        <v>826</v>
      </c>
      <c r="D41" s="943">
        <f t="shared" ref="D41:D51" si="4">SUM(E41:K41)</f>
        <v>72065991</v>
      </c>
      <c r="E41" s="943"/>
      <c r="F41" s="943"/>
      <c r="G41" s="943"/>
      <c r="H41" s="943"/>
      <c r="I41" s="943"/>
      <c r="J41" s="952"/>
      <c r="K41" s="983">
        <f t="shared" ref="K41:K46" si="5">M41+N41</f>
        <v>72065991</v>
      </c>
      <c r="M41" s="962">
        <f>1400000</f>
        <v>1400000</v>
      </c>
      <c r="N41" s="962">
        <v>70665991</v>
      </c>
      <c r="O41" s="962"/>
      <c r="P41" s="962"/>
      <c r="Q41" s="962"/>
      <c r="R41" s="962"/>
      <c r="S41" s="962"/>
    </row>
    <row r="42" spans="2:21" ht="15.75" x14ac:dyDescent="0.2">
      <c r="B42" s="941"/>
      <c r="C42" s="955" t="s">
        <v>828</v>
      </c>
      <c r="D42" s="943">
        <f t="shared" si="4"/>
        <v>0</v>
      </c>
      <c r="E42" s="943"/>
      <c r="F42" s="943"/>
      <c r="G42" s="943"/>
      <c r="H42" s="943"/>
      <c r="I42" s="943"/>
      <c r="J42" s="952"/>
      <c r="K42" s="983">
        <f t="shared" si="5"/>
        <v>0</v>
      </c>
      <c r="M42" s="962"/>
      <c r="N42" s="962"/>
      <c r="O42" s="962"/>
      <c r="P42" s="962"/>
      <c r="Q42" s="962"/>
      <c r="R42" s="962"/>
      <c r="S42" s="962"/>
    </row>
    <row r="43" spans="2:21" ht="15.75" x14ac:dyDescent="0.2">
      <c r="B43" s="941"/>
      <c r="C43" s="955" t="s">
        <v>827</v>
      </c>
      <c r="D43" s="943">
        <f t="shared" si="4"/>
        <v>10408234</v>
      </c>
      <c r="E43" s="943"/>
      <c r="F43" s="943"/>
      <c r="G43" s="943"/>
      <c r="H43" s="943"/>
      <c r="I43" s="943"/>
      <c r="J43" s="952"/>
      <c r="K43" s="983">
        <f t="shared" si="5"/>
        <v>10408234</v>
      </c>
      <c r="M43" s="962">
        <f>189500</f>
        <v>189500</v>
      </c>
      <c r="N43" s="962">
        <v>10218734</v>
      </c>
      <c r="O43" s="962"/>
      <c r="P43" s="962"/>
      <c r="Q43" s="962"/>
      <c r="R43" s="962"/>
      <c r="S43" s="962"/>
    </row>
    <row r="44" spans="2:21" ht="15.75" x14ac:dyDescent="0.2">
      <c r="B44" s="941"/>
      <c r="C44" s="955" t="s">
        <v>829</v>
      </c>
      <c r="D44" s="943">
        <f t="shared" si="4"/>
        <v>0</v>
      </c>
      <c r="E44" s="943"/>
      <c r="F44" s="943"/>
      <c r="G44" s="943"/>
      <c r="H44" s="943"/>
      <c r="I44" s="943"/>
      <c r="J44" s="952"/>
      <c r="K44" s="983">
        <f t="shared" si="5"/>
        <v>0</v>
      </c>
      <c r="M44" s="962"/>
      <c r="N44" s="962"/>
      <c r="O44" s="962"/>
      <c r="P44" s="962"/>
      <c r="Q44" s="962"/>
      <c r="R44" s="962"/>
      <c r="S44" s="962"/>
    </row>
    <row r="45" spans="2:21" ht="15.75" x14ac:dyDescent="0.2">
      <c r="B45" s="941"/>
      <c r="C45" s="955" t="s">
        <v>830</v>
      </c>
      <c r="D45" s="943">
        <f t="shared" si="4"/>
        <v>0</v>
      </c>
      <c r="E45" s="943"/>
      <c r="F45" s="943"/>
      <c r="G45" s="943"/>
      <c r="H45" s="943"/>
      <c r="I45" s="943"/>
      <c r="J45" s="952"/>
      <c r="K45" s="983">
        <f t="shared" si="5"/>
        <v>0</v>
      </c>
      <c r="M45" s="962"/>
      <c r="N45" s="962"/>
      <c r="O45" s="962"/>
      <c r="P45" s="962"/>
      <c r="Q45" s="962"/>
      <c r="R45" s="962"/>
      <c r="S45" s="962"/>
    </row>
    <row r="46" spans="2:21" ht="15.75" x14ac:dyDescent="0.2">
      <c r="B46" s="941"/>
      <c r="C46" s="955" t="s">
        <v>831</v>
      </c>
      <c r="D46" s="943">
        <f t="shared" si="4"/>
        <v>24047125</v>
      </c>
      <c r="E46" s="943"/>
      <c r="F46" s="943"/>
      <c r="G46" s="943"/>
      <c r="H46" s="943"/>
      <c r="I46" s="943"/>
      <c r="J46" s="952"/>
      <c r="K46" s="983">
        <f t="shared" si="5"/>
        <v>24047125</v>
      </c>
      <c r="M46" s="962">
        <f>429165</f>
        <v>429165</v>
      </c>
      <c r="N46" s="962">
        <v>23617960</v>
      </c>
      <c r="O46" s="962"/>
      <c r="P46" s="962"/>
      <c r="Q46" s="962"/>
      <c r="R46" s="962"/>
      <c r="S46" s="962"/>
    </row>
    <row r="47" spans="2:21" s="958" customFormat="1" ht="15.75" x14ac:dyDescent="0.2">
      <c r="B47" s="956"/>
      <c r="C47" s="957" t="s">
        <v>823</v>
      </c>
      <c r="D47" s="948">
        <f>SUM(D40:D46)</f>
        <v>113110550</v>
      </c>
      <c r="E47" s="948">
        <f t="shared" ref="E47:J47" si="6">SUM(E40:E46)</f>
        <v>0</v>
      </c>
      <c r="F47" s="948">
        <f t="shared" si="6"/>
        <v>0</v>
      </c>
      <c r="G47" s="948">
        <f t="shared" si="6"/>
        <v>0</v>
      </c>
      <c r="H47" s="948">
        <f t="shared" si="6"/>
        <v>0</v>
      </c>
      <c r="I47" s="948">
        <f t="shared" si="6"/>
        <v>0</v>
      </c>
      <c r="J47" s="948">
        <f t="shared" si="6"/>
        <v>0</v>
      </c>
      <c r="K47" s="948">
        <f>SUM(K40:K46)</f>
        <v>113110550</v>
      </c>
      <c r="M47" s="963"/>
      <c r="N47" s="963"/>
      <c r="O47" s="963"/>
      <c r="P47" s="963"/>
      <c r="Q47" s="963"/>
      <c r="R47" s="963"/>
      <c r="S47" s="963"/>
    </row>
    <row r="48" spans="2:21" ht="15.75" x14ac:dyDescent="0.2">
      <c r="B48" s="941"/>
      <c r="C48" s="955" t="s">
        <v>832</v>
      </c>
      <c r="D48" s="943">
        <f t="shared" si="4"/>
        <v>33958830</v>
      </c>
      <c r="E48" s="943"/>
      <c r="F48" s="943"/>
      <c r="G48" s="943"/>
      <c r="H48" s="943"/>
      <c r="I48" s="943"/>
      <c r="J48" s="952"/>
      <c r="K48" s="983">
        <f>M48+N48</f>
        <v>33958830</v>
      </c>
      <c r="M48" s="962"/>
      <c r="N48" s="962">
        <v>33958830</v>
      </c>
      <c r="O48" s="962"/>
      <c r="P48" s="962"/>
      <c r="Q48" s="962"/>
      <c r="R48" s="962"/>
      <c r="S48" s="962"/>
    </row>
    <row r="49" spans="2:19" ht="15.75" x14ac:dyDescent="0.2">
      <c r="B49" s="941"/>
      <c r="C49" s="955" t="s">
        <v>833</v>
      </c>
      <c r="D49" s="943">
        <f t="shared" si="4"/>
        <v>0</v>
      </c>
      <c r="E49" s="943"/>
      <c r="F49" s="943"/>
      <c r="G49" s="943"/>
      <c r="H49" s="943"/>
      <c r="I49" s="943"/>
      <c r="J49" s="952"/>
      <c r="K49" s="983">
        <f t="shared" ref="K49:K51" si="7">M49+N49</f>
        <v>0</v>
      </c>
      <c r="M49" s="962"/>
      <c r="N49" s="962"/>
      <c r="O49" s="962"/>
      <c r="P49" s="962"/>
      <c r="Q49" s="962"/>
      <c r="R49" s="962"/>
      <c r="S49" s="962"/>
    </row>
    <row r="50" spans="2:19" ht="15.75" x14ac:dyDescent="0.2">
      <c r="B50" s="941"/>
      <c r="C50" s="955" t="s">
        <v>834</v>
      </c>
      <c r="D50" s="943">
        <f t="shared" si="4"/>
        <v>0</v>
      </c>
      <c r="E50" s="943"/>
      <c r="F50" s="943"/>
      <c r="G50" s="943"/>
      <c r="H50" s="943"/>
      <c r="I50" s="943"/>
      <c r="J50" s="952"/>
      <c r="K50" s="983">
        <f t="shared" si="7"/>
        <v>0</v>
      </c>
      <c r="M50" s="962"/>
      <c r="N50" s="962"/>
      <c r="O50" s="962"/>
      <c r="P50" s="962"/>
      <c r="Q50" s="962"/>
      <c r="R50" s="962"/>
      <c r="S50" s="962"/>
    </row>
    <row r="51" spans="2:19" ht="15.75" x14ac:dyDescent="0.2">
      <c r="B51" s="941"/>
      <c r="C51" s="955" t="s">
        <v>835</v>
      </c>
      <c r="D51" s="943">
        <f t="shared" si="4"/>
        <v>9168884</v>
      </c>
      <c r="E51" s="943"/>
      <c r="F51" s="943"/>
      <c r="G51" s="943"/>
      <c r="H51" s="943"/>
      <c r="I51" s="943"/>
      <c r="J51" s="952"/>
      <c r="K51" s="983">
        <f t="shared" si="7"/>
        <v>9168884</v>
      </c>
      <c r="M51" s="962"/>
      <c r="N51" s="962">
        <v>9168884</v>
      </c>
      <c r="O51" s="962"/>
      <c r="P51" s="962"/>
      <c r="Q51" s="962"/>
      <c r="R51" s="962"/>
      <c r="S51" s="962"/>
    </row>
    <row r="52" spans="2:19" s="958" customFormat="1" ht="15.75" x14ac:dyDescent="0.2">
      <c r="B52" s="956"/>
      <c r="C52" s="957" t="s">
        <v>822</v>
      </c>
      <c r="D52" s="948">
        <f>SUM(D48:D51)</f>
        <v>43127714</v>
      </c>
      <c r="E52" s="948">
        <f t="shared" ref="E52:J52" si="8">SUM(E48:E51)</f>
        <v>0</v>
      </c>
      <c r="F52" s="948">
        <f t="shared" si="8"/>
        <v>0</v>
      </c>
      <c r="G52" s="948">
        <f t="shared" si="8"/>
        <v>0</v>
      </c>
      <c r="H52" s="948">
        <f t="shared" si="8"/>
        <v>0</v>
      </c>
      <c r="I52" s="948">
        <f t="shared" si="8"/>
        <v>0</v>
      </c>
      <c r="J52" s="948">
        <f t="shared" si="8"/>
        <v>0</v>
      </c>
      <c r="K52" s="948">
        <f>SUM(K48:K51)</f>
        <v>43127714</v>
      </c>
      <c r="M52" s="963"/>
      <c r="N52" s="963"/>
      <c r="O52" s="963"/>
      <c r="P52" s="963"/>
      <c r="Q52" s="963"/>
      <c r="R52" s="963"/>
      <c r="S52" s="963"/>
    </row>
    <row r="53" spans="2:19" x14ac:dyDescent="0.2">
      <c r="D53" s="958"/>
      <c r="M53" s="962"/>
      <c r="N53" s="962"/>
      <c r="O53" s="962"/>
      <c r="P53" s="962"/>
      <c r="Q53" s="962"/>
      <c r="R53" s="962"/>
      <c r="S53" s="962"/>
    </row>
    <row r="54" spans="2:19" x14ac:dyDescent="0.2">
      <c r="N54" s="962"/>
      <c r="O54" s="962"/>
      <c r="P54" s="962"/>
      <c r="Q54" s="962"/>
      <c r="R54" s="962"/>
      <c r="S54" s="962"/>
    </row>
    <row r="55" spans="2:19" x14ac:dyDescent="0.2">
      <c r="N55" s="962"/>
      <c r="O55" s="962"/>
      <c r="P55" s="962"/>
      <c r="Q55" s="962"/>
      <c r="R55" s="962"/>
      <c r="S55" s="962"/>
    </row>
    <row r="56" spans="2:19" x14ac:dyDescent="0.2">
      <c r="N56" s="962"/>
      <c r="O56" s="962"/>
      <c r="P56" s="962"/>
      <c r="Q56" s="962"/>
      <c r="R56" s="962"/>
      <c r="S56" s="962"/>
    </row>
    <row r="57" spans="2:19" x14ac:dyDescent="0.2">
      <c r="N57" s="962"/>
      <c r="O57" s="962"/>
      <c r="P57" s="962"/>
      <c r="Q57" s="962"/>
      <c r="R57" s="962"/>
      <c r="S57" s="962"/>
    </row>
    <row r="58" spans="2:19" x14ac:dyDescent="0.2">
      <c r="N58" s="962"/>
      <c r="O58" s="962"/>
      <c r="P58" s="962"/>
      <c r="Q58" s="962"/>
      <c r="R58" s="962"/>
      <c r="S58" s="962"/>
    </row>
    <row r="59" spans="2:19" x14ac:dyDescent="0.2">
      <c r="N59" s="962"/>
      <c r="O59" s="962"/>
      <c r="P59" s="962"/>
      <c r="Q59" s="962"/>
      <c r="R59" s="962"/>
      <c r="S59" s="962"/>
    </row>
    <row r="60" spans="2:19" x14ac:dyDescent="0.2">
      <c r="N60" s="962"/>
      <c r="O60" s="962"/>
      <c r="P60" s="962"/>
      <c r="Q60" s="962"/>
      <c r="R60" s="962"/>
      <c r="S60" s="962"/>
    </row>
    <row r="61" spans="2:19" x14ac:dyDescent="0.2">
      <c r="N61" s="962"/>
      <c r="O61" s="962"/>
      <c r="P61" s="962"/>
      <c r="Q61" s="962"/>
      <c r="R61" s="962"/>
      <c r="S61" s="962"/>
    </row>
    <row r="62" spans="2:19" x14ac:dyDescent="0.2">
      <c r="N62" s="962"/>
      <c r="O62" s="962"/>
      <c r="P62" s="962"/>
      <c r="Q62" s="962"/>
      <c r="R62" s="962"/>
      <c r="S62" s="962"/>
    </row>
    <row r="63" spans="2:19" x14ac:dyDescent="0.2">
      <c r="N63" s="962"/>
      <c r="O63" s="962"/>
      <c r="P63" s="962"/>
      <c r="Q63" s="962"/>
      <c r="R63" s="962"/>
      <c r="S63" s="962"/>
    </row>
    <row r="64" spans="2:19" x14ac:dyDescent="0.2">
      <c r="N64" s="962"/>
      <c r="O64" s="962"/>
      <c r="P64" s="962"/>
      <c r="Q64" s="962"/>
      <c r="R64" s="962"/>
      <c r="S64" s="962"/>
    </row>
    <row r="65" spans="14:19" x14ac:dyDescent="0.2">
      <c r="N65" s="962"/>
      <c r="O65" s="962"/>
      <c r="P65" s="962"/>
      <c r="Q65" s="962"/>
      <c r="R65" s="962"/>
      <c r="S65" s="962"/>
    </row>
    <row r="66" spans="14:19" x14ac:dyDescent="0.2">
      <c r="N66" s="962"/>
      <c r="O66" s="962"/>
      <c r="P66" s="962"/>
      <c r="Q66" s="962"/>
      <c r="R66" s="962"/>
      <c r="S66" s="962"/>
    </row>
    <row r="67" spans="14:19" x14ac:dyDescent="0.2">
      <c r="N67" s="962"/>
      <c r="O67" s="962"/>
      <c r="P67" s="962"/>
      <c r="Q67" s="962"/>
      <c r="R67" s="962"/>
      <c r="S67" s="962"/>
    </row>
    <row r="68" spans="14:19" x14ac:dyDescent="0.2">
      <c r="N68" s="962"/>
      <c r="O68" s="962"/>
      <c r="P68" s="962"/>
      <c r="Q68" s="962"/>
      <c r="R68" s="962"/>
      <c r="S68" s="962"/>
    </row>
    <row r="69" spans="14:19" x14ac:dyDescent="0.2">
      <c r="N69" s="962"/>
      <c r="O69" s="962"/>
      <c r="P69" s="962"/>
      <c r="Q69" s="962"/>
      <c r="R69" s="962"/>
      <c r="S69" s="962"/>
    </row>
    <row r="70" spans="14:19" x14ac:dyDescent="0.2">
      <c r="N70" s="962"/>
      <c r="O70" s="962"/>
      <c r="P70" s="962"/>
      <c r="Q70" s="962"/>
      <c r="R70" s="962"/>
      <c r="S70" s="962"/>
    </row>
    <row r="71" spans="14:19" x14ac:dyDescent="0.2">
      <c r="N71" s="962"/>
      <c r="O71" s="962"/>
      <c r="P71" s="962"/>
      <c r="Q71" s="962"/>
      <c r="R71" s="962"/>
      <c r="S71" s="962"/>
    </row>
    <row r="72" spans="14:19" x14ac:dyDescent="0.2">
      <c r="N72" s="962"/>
      <c r="O72" s="962"/>
      <c r="P72" s="962"/>
      <c r="Q72" s="962"/>
      <c r="R72" s="962"/>
      <c r="S72" s="962"/>
    </row>
    <row r="73" spans="14:19" x14ac:dyDescent="0.2">
      <c r="N73" s="962"/>
      <c r="O73" s="962"/>
      <c r="P73" s="962"/>
      <c r="Q73" s="962"/>
      <c r="R73" s="962"/>
      <c r="S73" s="962"/>
    </row>
    <row r="74" spans="14:19" x14ac:dyDescent="0.2">
      <c r="N74" s="962"/>
      <c r="O74" s="962"/>
      <c r="P74" s="962"/>
      <c r="Q74" s="962"/>
      <c r="R74" s="962"/>
      <c r="S74" s="962"/>
    </row>
    <row r="75" spans="14:19" x14ac:dyDescent="0.2">
      <c r="N75" s="962"/>
      <c r="O75" s="962"/>
      <c r="P75" s="962"/>
      <c r="Q75" s="962"/>
      <c r="R75" s="962"/>
      <c r="S75" s="962"/>
    </row>
    <row r="76" spans="14:19" x14ac:dyDescent="0.2">
      <c r="N76" s="962"/>
      <c r="O76" s="962"/>
      <c r="P76" s="962"/>
      <c r="Q76" s="962"/>
      <c r="R76" s="962"/>
      <c r="S76" s="962"/>
    </row>
    <row r="77" spans="14:19" x14ac:dyDescent="0.2">
      <c r="N77" s="962"/>
      <c r="O77" s="962"/>
      <c r="P77" s="962"/>
      <c r="Q77" s="962"/>
      <c r="R77" s="962"/>
      <c r="S77" s="962"/>
    </row>
    <row r="78" spans="14:19" x14ac:dyDescent="0.2">
      <c r="N78" s="962"/>
      <c r="O78" s="962"/>
      <c r="P78" s="962"/>
      <c r="Q78" s="962"/>
      <c r="R78" s="962"/>
      <c r="S78" s="962"/>
    </row>
  </sheetData>
  <mergeCells count="8">
    <mergeCell ref="B10:B12"/>
    <mergeCell ref="C10:C12"/>
    <mergeCell ref="D10:K10"/>
    <mergeCell ref="D11:K11"/>
    <mergeCell ref="B37:B39"/>
    <mergeCell ref="C37:C39"/>
    <mergeCell ref="D37:K37"/>
    <mergeCell ref="D38:K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F9590-B943-4D67-A4FE-F86023359A03}">
  <dimension ref="A1:F115"/>
  <sheetViews>
    <sheetView workbookViewId="0">
      <selection activeCell="B5" sqref="B5"/>
    </sheetView>
  </sheetViews>
  <sheetFormatPr defaultColWidth="9.33203125" defaultRowHeight="15.75" x14ac:dyDescent="0.25"/>
  <cols>
    <col min="1" max="1" width="6.33203125" style="87" customWidth="1"/>
    <col min="2" max="2" width="70.83203125" style="87" customWidth="1"/>
    <col min="3" max="3" width="12.33203125" style="87" customWidth="1"/>
    <col min="4" max="4" width="16.83203125" style="87" customWidth="1"/>
    <col min="5" max="5" width="15" style="87" customWidth="1"/>
    <col min="6" max="6" width="17.6640625" style="88" customWidth="1"/>
    <col min="7" max="16384" width="9.33203125" style="1"/>
  </cols>
  <sheetData>
    <row r="1" spans="1:6" ht="51" customHeight="1" x14ac:dyDescent="0.25">
      <c r="A1" s="1105" t="s">
        <v>735</v>
      </c>
      <c r="B1" s="1106"/>
      <c r="C1" s="1106"/>
      <c r="D1" s="1106"/>
      <c r="E1" s="1106"/>
      <c r="F1" s="1106"/>
    </row>
    <row r="2" spans="1:6" ht="15.95" customHeight="1" x14ac:dyDescent="0.25">
      <c r="A2" s="1104" t="s">
        <v>0</v>
      </c>
      <c r="B2" s="1104"/>
      <c r="C2" s="1104"/>
      <c r="D2" s="1104"/>
      <c r="E2" s="1104"/>
      <c r="F2" s="1104"/>
    </row>
    <row r="3" spans="1:6" ht="15.95" customHeight="1" x14ac:dyDescent="0.25">
      <c r="A3" s="1103"/>
      <c r="B3" s="1103"/>
      <c r="C3" s="1091"/>
      <c r="D3" s="1091"/>
      <c r="E3" s="1091"/>
      <c r="F3" s="2" t="s">
        <v>1</v>
      </c>
    </row>
    <row r="4" spans="1:6" ht="38.1" customHeight="1" x14ac:dyDescent="0.25">
      <c r="A4" s="3" t="s">
        <v>2</v>
      </c>
      <c r="B4" s="4" t="s">
        <v>3</v>
      </c>
      <c r="C4" s="4" t="s">
        <v>4</v>
      </c>
      <c r="D4" s="247" t="s">
        <v>500</v>
      </c>
      <c r="E4" s="247" t="s">
        <v>936</v>
      </c>
      <c r="F4" s="247" t="s">
        <v>937</v>
      </c>
    </row>
    <row r="5" spans="1:6" s="6" customFormat="1" ht="12" customHeight="1" x14ac:dyDescent="0.2">
      <c r="A5" s="3" t="s">
        <v>5</v>
      </c>
      <c r="B5" s="4" t="s">
        <v>6</v>
      </c>
      <c r="C5" s="4" t="s">
        <v>7</v>
      </c>
      <c r="D5" s="790" t="s">
        <v>8</v>
      </c>
      <c r="E5" s="790" t="s">
        <v>263</v>
      </c>
      <c r="F5" s="5" t="s">
        <v>422</v>
      </c>
    </row>
    <row r="6" spans="1:6" s="10" customFormat="1" ht="15.75" customHeight="1" x14ac:dyDescent="0.2">
      <c r="A6" s="7" t="s">
        <v>9</v>
      </c>
      <c r="B6" s="1240" t="s">
        <v>10</v>
      </c>
      <c r="C6" s="1241" t="s">
        <v>11</v>
      </c>
      <c r="D6" s="1088">
        <f>'[21]3.sz.mell'!$F$20</f>
        <v>76950960</v>
      </c>
      <c r="E6" s="1088">
        <v>76950960</v>
      </c>
      <c r="F6" s="1242">
        <v>40087678</v>
      </c>
    </row>
    <row r="7" spans="1:6" s="10" customFormat="1" ht="15.75" customHeight="1" x14ac:dyDescent="0.2">
      <c r="A7" s="11" t="s">
        <v>12</v>
      </c>
      <c r="B7" s="1243" t="s">
        <v>13</v>
      </c>
      <c r="C7" s="1244" t="s">
        <v>14</v>
      </c>
      <c r="D7" s="1088">
        <f>'[21]3.sz.mell'!$F$38</f>
        <v>51582233.333333336</v>
      </c>
      <c r="E7" s="1089">
        <f>51582233.3333333+367584+147300+27234</f>
        <v>52124351.333333299</v>
      </c>
      <c r="F7" s="1242">
        <v>26639566</v>
      </c>
    </row>
    <row r="8" spans="1:6" s="10" customFormat="1" ht="24" customHeight="1" x14ac:dyDescent="0.2">
      <c r="A8" s="11" t="s">
        <v>15</v>
      </c>
      <c r="B8" s="1243" t="s">
        <v>16</v>
      </c>
      <c r="C8" s="1244" t="s">
        <v>17</v>
      </c>
      <c r="D8" s="1089">
        <f>'[21]3.sz.mell'!$F$55</f>
        <v>55117300</v>
      </c>
      <c r="E8" s="1089">
        <f>55117300-1155960</f>
        <v>53961340</v>
      </c>
      <c r="F8" s="1242">
        <v>29698327</v>
      </c>
    </row>
    <row r="9" spans="1:6" s="10" customFormat="1" ht="15.75" customHeight="1" x14ac:dyDescent="0.2">
      <c r="A9" s="11" t="s">
        <v>18</v>
      </c>
      <c r="B9" s="1243" t="s">
        <v>19</v>
      </c>
      <c r="C9" s="1244" t="s">
        <v>20</v>
      </c>
      <c r="D9" s="1089">
        <f>'[21]3.sz.mell'!$F$59</f>
        <v>2720080</v>
      </c>
      <c r="E9" s="1089">
        <v>2720080</v>
      </c>
      <c r="F9" s="1242">
        <v>1902264</v>
      </c>
    </row>
    <row r="10" spans="1:6" s="10" customFormat="1" ht="15.75" customHeight="1" x14ac:dyDescent="0.2">
      <c r="A10" s="7" t="s">
        <v>21</v>
      </c>
      <c r="B10" s="1243" t="s">
        <v>22</v>
      </c>
      <c r="C10" s="1244" t="s">
        <v>23</v>
      </c>
      <c r="D10" s="1089"/>
      <c r="E10" s="1089">
        <f>491831+63694+734251+2000000</f>
        <v>3289776</v>
      </c>
      <c r="F10" s="1242">
        <v>1289776</v>
      </c>
    </row>
    <row r="11" spans="1:6" s="10" customFormat="1" ht="15.75" customHeight="1" x14ac:dyDescent="0.2">
      <c r="A11" s="11" t="s">
        <v>24</v>
      </c>
      <c r="B11" s="1243" t="s">
        <v>25</v>
      </c>
      <c r="C11" s="1244" t="s">
        <v>26</v>
      </c>
      <c r="D11" s="1089"/>
      <c r="E11" s="1089"/>
      <c r="F11" s="1242">
        <f>SUM(D11:E11)</f>
        <v>0</v>
      </c>
    </row>
    <row r="12" spans="1:6" s="10" customFormat="1" ht="15.75" customHeight="1" x14ac:dyDescent="0.2">
      <c r="A12" s="14" t="s">
        <v>27</v>
      </c>
      <c r="B12" s="15" t="s">
        <v>28</v>
      </c>
      <c r="C12" s="16" t="s">
        <v>29</v>
      </c>
      <c r="D12" s="1245">
        <f t="shared" ref="D12:E12" si="0">+D6+D7+D8+D9+D10+D11</f>
        <v>186370573.33333334</v>
      </c>
      <c r="E12" s="1246">
        <f t="shared" si="0"/>
        <v>189046507.33333331</v>
      </c>
      <c r="F12" s="1247">
        <f>+F6+F7+F8+F9+F10+F11</f>
        <v>99617611</v>
      </c>
    </row>
    <row r="13" spans="1:6" s="10" customFormat="1" ht="15.75" customHeight="1" x14ac:dyDescent="0.2">
      <c r="A13" s="11" t="s">
        <v>30</v>
      </c>
      <c r="B13" s="1243" t="s">
        <v>31</v>
      </c>
      <c r="C13" s="1244" t="s">
        <v>32</v>
      </c>
      <c r="D13" s="1089"/>
      <c r="E13" s="1089"/>
      <c r="F13" s="1248">
        <f>SUM(D13:E13)</f>
        <v>0</v>
      </c>
    </row>
    <row r="14" spans="1:6" s="10" customFormat="1" ht="15.75" customHeight="1" x14ac:dyDescent="0.2">
      <c r="A14" s="7" t="s">
        <v>33</v>
      </c>
      <c r="B14" s="1243" t="s">
        <v>34</v>
      </c>
      <c r="C14" s="1244" t="s">
        <v>35</v>
      </c>
      <c r="D14" s="1249">
        <f>SUM(D15:D21)</f>
        <v>156528115</v>
      </c>
      <c r="E14" s="1250">
        <v>156528115</v>
      </c>
      <c r="F14" s="1251">
        <v>97109337</v>
      </c>
    </row>
    <row r="15" spans="1:6" s="10" customFormat="1" ht="24" customHeight="1" x14ac:dyDescent="0.2">
      <c r="A15" s="11" t="s">
        <v>36</v>
      </c>
      <c r="B15" s="1252" t="s">
        <v>37</v>
      </c>
      <c r="C15" s="1244" t="s">
        <v>35</v>
      </c>
      <c r="D15" s="1089">
        <f>1080000</f>
        <v>1080000</v>
      </c>
      <c r="E15" s="1089">
        <v>1080000</v>
      </c>
      <c r="F15" s="1253"/>
    </row>
    <row r="16" spans="1:6" s="10" customFormat="1" ht="24.75" customHeight="1" x14ac:dyDescent="0.2">
      <c r="A16" s="11" t="s">
        <v>38</v>
      </c>
      <c r="B16" s="1254" t="s">
        <v>39</v>
      </c>
      <c r="C16" s="1244" t="s">
        <v>35</v>
      </c>
      <c r="D16" s="1089"/>
      <c r="E16" s="1089"/>
      <c r="F16" s="1253"/>
    </row>
    <row r="17" spans="1:6" s="10" customFormat="1" ht="15.75" customHeight="1" x14ac:dyDescent="0.2">
      <c r="A17" s="7" t="s">
        <v>40</v>
      </c>
      <c r="B17" s="1254" t="s">
        <v>41</v>
      </c>
      <c r="C17" s="1244" t="s">
        <v>35</v>
      </c>
      <c r="D17" s="1089"/>
      <c r="E17" s="1089"/>
      <c r="F17" s="1253">
        <f>SUM(D17:E17)</f>
        <v>0</v>
      </c>
    </row>
    <row r="18" spans="1:6" s="10" customFormat="1" ht="19.5" customHeight="1" x14ac:dyDescent="0.2">
      <c r="A18" s="11" t="s">
        <v>42</v>
      </c>
      <c r="B18" s="1254" t="s">
        <v>43</v>
      </c>
      <c r="C18" s="1244" t="s">
        <v>35</v>
      </c>
      <c r="D18" s="1089">
        <f>1365000+80000+1200000+266000+300000</f>
        <v>3211000</v>
      </c>
      <c r="E18" s="1089">
        <v>3211000</v>
      </c>
      <c r="F18" s="409"/>
    </row>
    <row r="19" spans="1:6" s="10" customFormat="1" ht="19.5" customHeight="1" x14ac:dyDescent="0.2">
      <c r="A19" s="11" t="s">
        <v>44</v>
      </c>
      <c r="B19" s="1254" t="s">
        <v>45</v>
      </c>
      <c r="C19" s="1244" t="s">
        <v>35</v>
      </c>
      <c r="D19" s="1089">
        <v>5154000</v>
      </c>
      <c r="E19" s="1089">
        <v>5154000</v>
      </c>
      <c r="F19" s="1253"/>
    </row>
    <row r="20" spans="1:6" s="10" customFormat="1" ht="24" customHeight="1" x14ac:dyDescent="0.2">
      <c r="A20" s="7" t="s">
        <v>46</v>
      </c>
      <c r="B20" s="1254" t="s">
        <v>47</v>
      </c>
      <c r="C20" s="1244" t="s">
        <v>35</v>
      </c>
      <c r="D20" s="1089">
        <v>147083115</v>
      </c>
      <c r="E20" s="1089">
        <v>147083115</v>
      </c>
      <c r="F20" s="1253"/>
    </row>
    <row r="21" spans="1:6" s="10" customFormat="1" ht="24.75" customHeight="1" x14ac:dyDescent="0.2">
      <c r="A21" s="19" t="s">
        <v>48</v>
      </c>
      <c r="B21" s="1254" t="s">
        <v>49</v>
      </c>
      <c r="C21" s="1255" t="s">
        <v>35</v>
      </c>
      <c r="D21" s="1256"/>
      <c r="E21" s="1256"/>
      <c r="F21" s="1257">
        <f>SUM(D21:E21)</f>
        <v>0</v>
      </c>
    </row>
    <row r="22" spans="1:6" s="10" customFormat="1" ht="18" customHeight="1" x14ac:dyDescent="0.2">
      <c r="A22" s="21" t="s">
        <v>50</v>
      </c>
      <c r="B22" s="1258" t="s">
        <v>51</v>
      </c>
      <c r="C22" s="1259" t="s">
        <v>52</v>
      </c>
      <c r="D22" s="807">
        <f>SUM(D12+D13+D14)</f>
        <v>342898688.33333337</v>
      </c>
      <c r="E22" s="808">
        <f t="shared" ref="E22" si="1">SUM(E12+E13+E14)</f>
        <v>345574622.33333331</v>
      </c>
      <c r="F22" s="1260">
        <f>SUM(F12+F13+F14)</f>
        <v>196726948</v>
      </c>
    </row>
    <row r="23" spans="1:6" s="10" customFormat="1" ht="15.75" customHeight="1" x14ac:dyDescent="0.2">
      <c r="A23" s="7" t="s">
        <v>53</v>
      </c>
      <c r="B23" s="1261" t="s">
        <v>54</v>
      </c>
      <c r="C23" s="1241" t="s">
        <v>55</v>
      </c>
      <c r="D23" s="1262"/>
      <c r="E23" s="1262">
        <v>8368284</v>
      </c>
      <c r="F23" s="406">
        <v>8368284</v>
      </c>
    </row>
    <row r="24" spans="1:6" s="10" customFormat="1" ht="15.75" customHeight="1" x14ac:dyDescent="0.2">
      <c r="A24" s="11" t="s">
        <v>56</v>
      </c>
      <c r="B24" s="1263" t="s">
        <v>57</v>
      </c>
      <c r="C24" s="1244" t="s">
        <v>58</v>
      </c>
      <c r="D24" s="1264">
        <f t="shared" ref="D24:F24" si="2">SUM(D25:D30)</f>
        <v>122998649</v>
      </c>
      <c r="E24" s="1264">
        <f t="shared" si="2"/>
        <v>114630365</v>
      </c>
      <c r="F24" s="1265">
        <f t="shared" si="2"/>
        <v>17327978</v>
      </c>
    </row>
    <row r="25" spans="1:6" s="10" customFormat="1" ht="15.75" customHeight="1" x14ac:dyDescent="0.2">
      <c r="A25" s="11" t="s">
        <v>59</v>
      </c>
      <c r="B25" s="1252" t="s">
        <v>60</v>
      </c>
      <c r="C25" s="1244" t="s">
        <v>58</v>
      </c>
      <c r="D25" s="1089">
        <v>8368284</v>
      </c>
      <c r="E25" s="1266"/>
      <c r="F25" s="409"/>
    </row>
    <row r="26" spans="1:6" s="10" customFormat="1" ht="24" customHeight="1" x14ac:dyDescent="0.2">
      <c r="A26" s="7" t="s">
        <v>61</v>
      </c>
      <c r="B26" s="1267" t="s">
        <v>62</v>
      </c>
      <c r="C26" s="1244" t="s">
        <v>58</v>
      </c>
      <c r="D26" s="1266">
        <v>114630365</v>
      </c>
      <c r="E26" s="1266">
        <f>122998649-8368284</f>
        <v>114630365</v>
      </c>
      <c r="F26" s="409">
        <f>2513492+14814486</f>
        <v>17327978</v>
      </c>
    </row>
    <row r="27" spans="1:6" s="10" customFormat="1" ht="25.5" x14ac:dyDescent="0.2">
      <c r="A27" s="11" t="s">
        <v>63</v>
      </c>
      <c r="B27" s="1267" t="s">
        <v>64</v>
      </c>
      <c r="C27" s="1244" t="s">
        <v>58</v>
      </c>
      <c r="D27" s="1266"/>
      <c r="E27" s="1266"/>
      <c r="F27" s="409"/>
    </row>
    <row r="28" spans="1:6" s="10" customFormat="1" ht="15.75" customHeight="1" x14ac:dyDescent="0.2">
      <c r="A28" s="11" t="s">
        <v>65</v>
      </c>
      <c r="B28" s="1267" t="s">
        <v>66</v>
      </c>
      <c r="C28" s="1244" t="s">
        <v>58</v>
      </c>
      <c r="D28" s="1266"/>
      <c r="E28" s="1266"/>
      <c r="F28" s="409"/>
    </row>
    <row r="29" spans="1:6" s="10" customFormat="1" ht="24.75" customHeight="1" x14ac:dyDescent="0.2">
      <c r="A29" s="7" t="s">
        <v>67</v>
      </c>
      <c r="B29" s="1267" t="s">
        <v>68</v>
      </c>
      <c r="C29" s="1244" t="s">
        <v>58</v>
      </c>
      <c r="D29" s="1266"/>
      <c r="E29" s="1266"/>
      <c r="F29" s="409"/>
    </row>
    <row r="30" spans="1:6" s="10" customFormat="1" ht="24" customHeight="1" x14ac:dyDescent="0.2">
      <c r="A30" s="19" t="s">
        <v>69</v>
      </c>
      <c r="B30" s="1268" t="s">
        <v>70</v>
      </c>
      <c r="C30" s="1255" t="s">
        <v>58</v>
      </c>
      <c r="D30" s="1269"/>
      <c r="E30" s="1269"/>
      <c r="F30" s="1270"/>
    </row>
    <row r="31" spans="1:6" s="10" customFormat="1" ht="22.5" customHeight="1" x14ac:dyDescent="0.2">
      <c r="A31" s="28" t="s">
        <v>71</v>
      </c>
      <c r="B31" s="29" t="s">
        <v>72</v>
      </c>
      <c r="C31" s="30" t="s">
        <v>73</v>
      </c>
      <c r="D31" s="809">
        <f t="shared" ref="D31:E31" si="3">SUM(D23+D24)</f>
        <v>122998649</v>
      </c>
      <c r="E31" s="414">
        <f t="shared" si="3"/>
        <v>122998649</v>
      </c>
      <c r="F31" s="1271">
        <f>SUM(F23+F24)</f>
        <v>25696262</v>
      </c>
    </row>
    <row r="32" spans="1:6" s="10" customFormat="1" ht="14.25" customHeight="1" x14ac:dyDescent="0.2">
      <c r="A32" s="31" t="s">
        <v>74</v>
      </c>
      <c r="B32" s="32" t="s">
        <v>75</v>
      </c>
      <c r="C32" s="33" t="s">
        <v>76</v>
      </c>
      <c r="D32" s="791"/>
      <c r="E32" s="791"/>
      <c r="F32" s="442">
        <f>SUM(D32:E32)</f>
        <v>0</v>
      </c>
    </row>
    <row r="33" spans="1:6" s="10" customFormat="1" ht="14.25" customHeight="1" x14ac:dyDescent="0.2">
      <c r="A33" s="11" t="s">
        <v>77</v>
      </c>
      <c r="B33" s="1243" t="s">
        <v>78</v>
      </c>
      <c r="C33" s="1244" t="s">
        <v>79</v>
      </c>
      <c r="D33" s="1249">
        <f t="shared" ref="D33:F33" si="4">SUM(D34:D36)</f>
        <v>5500000</v>
      </c>
      <c r="E33" s="1249">
        <f t="shared" si="4"/>
        <v>5500000</v>
      </c>
      <c r="F33" s="1249">
        <f t="shared" si="4"/>
        <v>2215821</v>
      </c>
    </row>
    <row r="34" spans="1:6" s="10" customFormat="1" ht="14.25" customHeight="1" x14ac:dyDescent="0.2">
      <c r="A34" s="11" t="s">
        <v>80</v>
      </c>
      <c r="B34" s="34" t="s">
        <v>81</v>
      </c>
      <c r="C34" s="1272" t="s">
        <v>79</v>
      </c>
      <c r="D34" s="1273"/>
      <c r="E34" s="1274"/>
      <c r="F34" s="1275">
        <f>SUM(D34:E34)</f>
        <v>0</v>
      </c>
    </row>
    <row r="35" spans="1:6" s="10" customFormat="1" ht="14.25" customHeight="1" x14ac:dyDescent="0.2">
      <c r="A35" s="7" t="s">
        <v>82</v>
      </c>
      <c r="B35" s="36" t="s">
        <v>83</v>
      </c>
      <c r="C35" s="1272" t="s">
        <v>79</v>
      </c>
      <c r="D35" s="1273"/>
      <c r="E35" s="1274"/>
      <c r="F35" s="1275">
        <f>SUM(D35:E35)</f>
        <v>0</v>
      </c>
    </row>
    <row r="36" spans="1:6" s="10" customFormat="1" ht="14.25" customHeight="1" x14ac:dyDescent="0.2">
      <c r="A36" s="7" t="s">
        <v>84</v>
      </c>
      <c r="B36" s="36" t="s">
        <v>85</v>
      </c>
      <c r="C36" s="1272" t="s">
        <v>79</v>
      </c>
      <c r="D36" s="1273">
        <f>3500000+2000000</f>
        <v>5500000</v>
      </c>
      <c r="E36" s="1274">
        <v>5500000</v>
      </c>
      <c r="F36" s="1275">
        <v>2215821</v>
      </c>
    </row>
    <row r="37" spans="1:6" s="10" customFormat="1" ht="14.25" customHeight="1" x14ac:dyDescent="0.2">
      <c r="A37" s="11" t="s">
        <v>86</v>
      </c>
      <c r="B37" s="37" t="s">
        <v>87</v>
      </c>
      <c r="C37" s="1244" t="s">
        <v>88</v>
      </c>
      <c r="D37" s="1249">
        <f t="shared" ref="D37:F37" si="5">SUM(D38:D39)</f>
        <v>19500000</v>
      </c>
      <c r="E37" s="1250">
        <f t="shared" si="5"/>
        <v>19500000</v>
      </c>
      <c r="F37" s="1250">
        <f t="shared" si="5"/>
        <v>13938899</v>
      </c>
    </row>
    <row r="38" spans="1:6" s="10" customFormat="1" ht="14.25" customHeight="1" x14ac:dyDescent="0.2">
      <c r="A38" s="11" t="s">
        <v>89</v>
      </c>
      <c r="B38" s="38" t="s">
        <v>90</v>
      </c>
      <c r="C38" s="1272" t="s">
        <v>88</v>
      </c>
      <c r="D38" s="1273">
        <f>16000000+3500000</f>
        <v>19500000</v>
      </c>
      <c r="E38" s="1274">
        <v>19500000</v>
      </c>
      <c r="F38" s="1274">
        <v>13938899</v>
      </c>
    </row>
    <row r="39" spans="1:6" s="10" customFormat="1" ht="14.25" customHeight="1" x14ac:dyDescent="0.2">
      <c r="A39" s="7" t="s">
        <v>91</v>
      </c>
      <c r="B39" s="38" t="s">
        <v>92</v>
      </c>
      <c r="C39" s="1272" t="s">
        <v>88</v>
      </c>
      <c r="D39" s="1273"/>
      <c r="E39" s="1274"/>
      <c r="F39" s="1265">
        <f>SUM(D39:E39)</f>
        <v>0</v>
      </c>
    </row>
    <row r="40" spans="1:6" s="10" customFormat="1" ht="17.25" customHeight="1" x14ac:dyDescent="0.2">
      <c r="A40" s="7" t="s">
        <v>93</v>
      </c>
      <c r="B40" s="39" t="s">
        <v>842</v>
      </c>
      <c r="C40" s="1244" t="s">
        <v>95</v>
      </c>
      <c r="D40" s="1089">
        <v>3500000</v>
      </c>
      <c r="E40" s="1276">
        <v>3500000</v>
      </c>
      <c r="F40" s="1265">
        <v>1818740</v>
      </c>
    </row>
    <row r="41" spans="1:6" s="10" customFormat="1" ht="17.25" customHeight="1" x14ac:dyDescent="0.2">
      <c r="A41" s="11" t="s">
        <v>96</v>
      </c>
      <c r="B41" s="37" t="s">
        <v>100</v>
      </c>
      <c r="C41" s="1244" t="s">
        <v>101</v>
      </c>
      <c r="D41" s="1249">
        <f>SUM(D42:D43)</f>
        <v>2760000</v>
      </c>
      <c r="E41" s="1250">
        <f t="shared" ref="E41:F41" si="6">SUM(E42:E43)</f>
        <v>2760000</v>
      </c>
      <c r="F41" s="1250">
        <f t="shared" si="6"/>
        <v>695779</v>
      </c>
    </row>
    <row r="42" spans="1:6" s="10" customFormat="1" ht="14.25" customHeight="1" x14ac:dyDescent="0.2">
      <c r="A42" s="11" t="s">
        <v>97</v>
      </c>
      <c r="B42" s="38" t="s">
        <v>843</v>
      </c>
      <c r="C42" s="1272" t="s">
        <v>845</v>
      </c>
      <c r="D42" s="1273">
        <v>160000</v>
      </c>
      <c r="E42" s="1273">
        <v>160000</v>
      </c>
      <c r="F42" s="409"/>
    </row>
    <row r="43" spans="1:6" s="10" customFormat="1" ht="14.25" customHeight="1" x14ac:dyDescent="0.2">
      <c r="A43" s="7" t="s">
        <v>98</v>
      </c>
      <c r="B43" s="38" t="s">
        <v>844</v>
      </c>
      <c r="C43" s="1272" t="s">
        <v>845</v>
      </c>
      <c r="D43" s="1273">
        <v>2600000</v>
      </c>
      <c r="E43" s="1273">
        <v>2600000</v>
      </c>
      <c r="F43" s="409">
        <v>695779</v>
      </c>
    </row>
    <row r="44" spans="1:6" s="10" customFormat="1" ht="14.25" customHeight="1" x14ac:dyDescent="0.2">
      <c r="A44" s="40" t="s">
        <v>99</v>
      </c>
      <c r="B44" s="1277" t="s">
        <v>846</v>
      </c>
      <c r="C44" s="1278" t="s">
        <v>847</v>
      </c>
      <c r="D44" s="1279"/>
      <c r="E44" s="1279"/>
      <c r="F44" s="443">
        <f>SUM(D44:E44)</f>
        <v>0</v>
      </c>
    </row>
    <row r="45" spans="1:6" s="10" customFormat="1" ht="17.25" customHeight="1" x14ac:dyDescent="0.2">
      <c r="A45" s="28" t="s">
        <v>102</v>
      </c>
      <c r="B45" s="29" t="s">
        <v>103</v>
      </c>
      <c r="C45" s="30" t="s">
        <v>104</v>
      </c>
      <c r="D45" s="809">
        <f>SUM(D32+D33+D37+D40+D41+D44)</f>
        <v>31260000</v>
      </c>
      <c r="E45" s="809">
        <f t="shared" ref="E45" si="7">SUM(E32+E33+E37+E40+E41+E44)</f>
        <v>31260000</v>
      </c>
      <c r="F45" s="809">
        <f>SUM(F32+F33+F37+F40+F41+F44)</f>
        <v>18669239</v>
      </c>
    </row>
    <row r="46" spans="1:6" s="10" customFormat="1" ht="14.25" customHeight="1" x14ac:dyDescent="0.2">
      <c r="A46" s="31" t="s">
        <v>105</v>
      </c>
      <c r="B46" s="1280" t="s">
        <v>106</v>
      </c>
      <c r="C46" s="1281" t="s">
        <v>107</v>
      </c>
      <c r="D46" s="1282">
        <v>11323866</v>
      </c>
      <c r="E46" s="1282">
        <v>11323866</v>
      </c>
      <c r="F46" s="447">
        <v>2372475</v>
      </c>
    </row>
    <row r="47" spans="1:6" s="10" customFormat="1" ht="14.25" customHeight="1" x14ac:dyDescent="0.2">
      <c r="A47" s="11" t="s">
        <v>108</v>
      </c>
      <c r="B47" s="1263" t="s">
        <v>109</v>
      </c>
      <c r="C47" s="1283" t="s">
        <v>110</v>
      </c>
      <c r="D47" s="1284">
        <v>10853933</v>
      </c>
      <c r="E47" s="1284">
        <v>10853933</v>
      </c>
      <c r="F47" s="409">
        <v>7305007</v>
      </c>
    </row>
    <row r="48" spans="1:6" s="10" customFormat="1" ht="14.25" customHeight="1" x14ac:dyDescent="0.2">
      <c r="A48" s="11" t="s">
        <v>111</v>
      </c>
      <c r="B48" s="1263" t="s">
        <v>112</v>
      </c>
      <c r="C48" s="1283" t="s">
        <v>113</v>
      </c>
      <c r="D48" s="1284">
        <v>4003802</v>
      </c>
      <c r="E48" s="1284">
        <v>4003802</v>
      </c>
      <c r="F48" s="409">
        <v>134010</v>
      </c>
    </row>
    <row r="49" spans="1:6" s="10" customFormat="1" ht="14.25" customHeight="1" x14ac:dyDescent="0.2">
      <c r="A49" s="11" t="s">
        <v>114</v>
      </c>
      <c r="B49" s="1263" t="s">
        <v>115</v>
      </c>
      <c r="C49" s="1283" t="s">
        <v>116</v>
      </c>
      <c r="D49" s="1284">
        <v>0</v>
      </c>
      <c r="E49" s="1284">
        <v>0</v>
      </c>
      <c r="F49" s="409">
        <v>0</v>
      </c>
    </row>
    <row r="50" spans="1:6" s="10" customFormat="1" ht="14.25" customHeight="1" x14ac:dyDescent="0.2">
      <c r="A50" s="11" t="s">
        <v>117</v>
      </c>
      <c r="B50" s="1263" t="s">
        <v>118</v>
      </c>
      <c r="C50" s="1283" t="s">
        <v>119</v>
      </c>
      <c r="D50" s="1284">
        <v>325</v>
      </c>
      <c r="E50" s="1284">
        <f>325+1343873</f>
        <v>1344198</v>
      </c>
      <c r="F50" s="409">
        <v>1344198</v>
      </c>
    </row>
    <row r="51" spans="1:6" s="10" customFormat="1" ht="14.25" customHeight="1" x14ac:dyDescent="0.2">
      <c r="A51" s="11" t="s">
        <v>120</v>
      </c>
      <c r="B51" s="1263" t="s">
        <v>121</v>
      </c>
      <c r="C51" s="1283" t="s">
        <v>122</v>
      </c>
      <c r="D51" s="1284">
        <v>2903199</v>
      </c>
      <c r="E51" s="1284">
        <v>2903199</v>
      </c>
      <c r="F51" s="409">
        <v>780935</v>
      </c>
    </row>
    <row r="52" spans="1:6" s="10" customFormat="1" ht="14.25" customHeight="1" x14ac:dyDescent="0.2">
      <c r="A52" s="11" t="s">
        <v>123</v>
      </c>
      <c r="B52" s="1263" t="s">
        <v>124</v>
      </c>
      <c r="C52" s="1283" t="s">
        <v>125</v>
      </c>
      <c r="D52" s="1284">
        <v>0</v>
      </c>
      <c r="E52" s="1284">
        <v>0</v>
      </c>
      <c r="F52" s="409"/>
    </row>
    <row r="53" spans="1:6" s="10" customFormat="1" ht="14.25" customHeight="1" x14ac:dyDescent="0.2">
      <c r="A53" s="11" t="s">
        <v>126</v>
      </c>
      <c r="B53" s="1263" t="s">
        <v>127</v>
      </c>
      <c r="C53" s="1283" t="s">
        <v>128</v>
      </c>
      <c r="D53" s="1284">
        <v>0</v>
      </c>
      <c r="E53" s="1284">
        <v>26</v>
      </c>
      <c r="F53" s="409">
        <v>26</v>
      </c>
    </row>
    <row r="54" spans="1:6" s="10" customFormat="1" ht="14.25" customHeight="1" x14ac:dyDescent="0.2">
      <c r="A54" s="11" t="s">
        <v>129</v>
      </c>
      <c r="B54" s="1263" t="s">
        <v>130</v>
      </c>
      <c r="C54" s="1283" t="s">
        <v>131</v>
      </c>
      <c r="D54" s="1284">
        <v>0</v>
      </c>
      <c r="E54" s="1284">
        <v>0</v>
      </c>
      <c r="F54" s="448"/>
    </row>
    <row r="55" spans="1:6" s="10" customFormat="1" ht="14.25" customHeight="1" x14ac:dyDescent="0.2">
      <c r="A55" s="11" t="s">
        <v>132</v>
      </c>
      <c r="B55" s="1263" t="s">
        <v>133</v>
      </c>
      <c r="C55" s="1283" t="s">
        <v>134</v>
      </c>
      <c r="D55" s="1284">
        <v>0</v>
      </c>
      <c r="E55" s="1284">
        <v>0</v>
      </c>
      <c r="F55" s="448"/>
    </row>
    <row r="56" spans="1:6" s="10" customFormat="1" ht="14.25" customHeight="1" x14ac:dyDescent="0.2">
      <c r="A56" s="19" t="s">
        <v>135</v>
      </c>
      <c r="B56" s="1285" t="s">
        <v>136</v>
      </c>
      <c r="C56" s="1278" t="s">
        <v>137</v>
      </c>
      <c r="D56" s="1279">
        <v>7268849</v>
      </c>
      <c r="E56" s="1279">
        <f>7268849-1343873+9584882</f>
        <v>15509858</v>
      </c>
      <c r="F56" s="413">
        <v>47441</v>
      </c>
    </row>
    <row r="57" spans="1:6" s="10" customFormat="1" ht="15.75" customHeight="1" x14ac:dyDescent="0.2">
      <c r="A57" s="21" t="s">
        <v>138</v>
      </c>
      <c r="B57" s="47" t="s">
        <v>139</v>
      </c>
      <c r="C57" s="1259" t="s">
        <v>140</v>
      </c>
      <c r="D57" s="812">
        <f t="shared" ref="D57:E57" si="8">SUM(D46:D56)</f>
        <v>36353974</v>
      </c>
      <c r="E57" s="754">
        <f t="shared" si="8"/>
        <v>45938882</v>
      </c>
      <c r="F57" s="1286">
        <f>SUM(F46:F56)</f>
        <v>11984092</v>
      </c>
    </row>
    <row r="58" spans="1:6" s="10" customFormat="1" ht="14.25" customHeight="1" x14ac:dyDescent="0.2">
      <c r="A58" s="48" t="s">
        <v>141</v>
      </c>
      <c r="B58" s="1261" t="s">
        <v>142</v>
      </c>
      <c r="C58" s="1287" t="s">
        <v>143</v>
      </c>
      <c r="D58" s="1288"/>
      <c r="E58" s="1288"/>
      <c r="F58" s="450"/>
    </row>
    <row r="59" spans="1:6" s="10" customFormat="1" ht="14.25" customHeight="1" x14ac:dyDescent="0.2">
      <c r="A59" s="50" t="s">
        <v>144</v>
      </c>
      <c r="B59" s="1263" t="s">
        <v>145</v>
      </c>
      <c r="C59" s="1283" t="s">
        <v>146</v>
      </c>
      <c r="D59" s="1284">
        <v>600000</v>
      </c>
      <c r="E59" s="1284">
        <v>800000</v>
      </c>
      <c r="F59" s="448">
        <v>300000</v>
      </c>
    </row>
    <row r="60" spans="1:6" s="10" customFormat="1" ht="14.25" customHeight="1" x14ac:dyDescent="0.2">
      <c r="A60" s="50" t="s">
        <v>147</v>
      </c>
      <c r="B60" s="1263" t="s">
        <v>148</v>
      </c>
      <c r="C60" s="1283" t="s">
        <v>149</v>
      </c>
      <c r="D60" s="1284"/>
      <c r="E60" s="1284"/>
      <c r="F60" s="448"/>
    </row>
    <row r="61" spans="1:6" s="10" customFormat="1" ht="14.25" customHeight="1" x14ac:dyDescent="0.2">
      <c r="A61" s="50" t="s">
        <v>150</v>
      </c>
      <c r="B61" s="1263" t="s">
        <v>151</v>
      </c>
      <c r="C61" s="1283" t="s">
        <v>152</v>
      </c>
      <c r="D61" s="1284"/>
      <c r="E61" s="1284"/>
      <c r="F61" s="448"/>
    </row>
    <row r="62" spans="1:6" s="10" customFormat="1" ht="14.25" customHeight="1" x14ac:dyDescent="0.2">
      <c r="A62" s="51" t="s">
        <v>153</v>
      </c>
      <c r="B62" s="1285" t="s">
        <v>154</v>
      </c>
      <c r="C62" s="1278" t="s">
        <v>155</v>
      </c>
      <c r="D62" s="1279"/>
      <c r="E62" s="1279"/>
      <c r="F62" s="413"/>
    </row>
    <row r="63" spans="1:6" s="10" customFormat="1" ht="19.5" customHeight="1" x14ac:dyDescent="0.2">
      <c r="A63" s="28" t="s">
        <v>156</v>
      </c>
      <c r="B63" s="47" t="s">
        <v>157</v>
      </c>
      <c r="C63" s="1289" t="s">
        <v>158</v>
      </c>
      <c r="D63" s="810">
        <f t="shared" ref="D63:E63" si="9">SUM(D58:D62)</f>
        <v>600000</v>
      </c>
      <c r="E63" s="811">
        <f t="shared" si="9"/>
        <v>800000</v>
      </c>
      <c r="F63" s="453">
        <f>SUM(F58:F62)</f>
        <v>300000</v>
      </c>
    </row>
    <row r="64" spans="1:6" s="10" customFormat="1" ht="24" customHeight="1" x14ac:dyDescent="0.2">
      <c r="A64" s="31" t="s">
        <v>159</v>
      </c>
      <c r="B64" s="1290" t="s">
        <v>160</v>
      </c>
      <c r="C64" s="1291" t="s">
        <v>161</v>
      </c>
      <c r="D64" s="1292"/>
      <c r="E64" s="1292">
        <v>152940</v>
      </c>
      <c r="F64" s="447">
        <v>152940</v>
      </c>
    </row>
    <row r="65" spans="1:6" s="10" customFormat="1" ht="17.25" customHeight="1" x14ac:dyDescent="0.2">
      <c r="A65" s="19" t="s">
        <v>162</v>
      </c>
      <c r="B65" s="1285" t="s">
        <v>163</v>
      </c>
      <c r="C65" s="1293" t="s">
        <v>164</v>
      </c>
      <c r="D65" s="1294"/>
      <c r="E65" s="1294">
        <v>76000</v>
      </c>
      <c r="F65" s="443">
        <v>76000</v>
      </c>
    </row>
    <row r="66" spans="1:6" s="10" customFormat="1" ht="17.25" customHeight="1" x14ac:dyDescent="0.2">
      <c r="A66" s="28" t="s">
        <v>165</v>
      </c>
      <c r="B66" s="1258" t="s">
        <v>166</v>
      </c>
      <c r="C66" s="1259" t="s">
        <v>167</v>
      </c>
      <c r="D66" s="808">
        <f t="shared" ref="D66:E66" si="10">SUM(D64:D65)</f>
        <v>0</v>
      </c>
      <c r="E66" s="808">
        <f t="shared" si="10"/>
        <v>228940</v>
      </c>
      <c r="F66" s="1295">
        <f>SUM(F64:F65)</f>
        <v>228940</v>
      </c>
    </row>
    <row r="67" spans="1:6" s="10" customFormat="1" ht="16.5" customHeight="1" x14ac:dyDescent="0.2">
      <c r="A67" s="7" t="s">
        <v>168</v>
      </c>
      <c r="B67" s="1240" t="s">
        <v>169</v>
      </c>
      <c r="C67" s="1241" t="s">
        <v>170</v>
      </c>
      <c r="D67" s="1296"/>
      <c r="E67" s="1296"/>
      <c r="F67" s="1297"/>
    </row>
    <row r="68" spans="1:6" s="10" customFormat="1" ht="14.25" customHeight="1" x14ac:dyDescent="0.2">
      <c r="A68" s="19" t="s">
        <v>171</v>
      </c>
      <c r="B68" s="1285" t="s">
        <v>172</v>
      </c>
      <c r="C68" s="1255" t="s">
        <v>173</v>
      </c>
      <c r="D68" s="1294"/>
      <c r="E68" s="1294"/>
      <c r="F68" s="56"/>
    </row>
    <row r="69" spans="1:6" s="10" customFormat="1" ht="15.75" customHeight="1" x14ac:dyDescent="0.2">
      <c r="A69" s="19" t="s">
        <v>174</v>
      </c>
      <c r="B69" s="1298" t="s">
        <v>175</v>
      </c>
      <c r="C69" s="1299" t="s">
        <v>176</v>
      </c>
      <c r="D69" s="1300">
        <f t="shared" ref="D69:E69" si="11">SUM(D67:D68)</f>
        <v>0</v>
      </c>
      <c r="E69" s="1300">
        <f t="shared" si="11"/>
        <v>0</v>
      </c>
      <c r="F69" s="1301">
        <f>SUM(F67:F68)</f>
        <v>0</v>
      </c>
    </row>
    <row r="70" spans="1:6" s="10" customFormat="1" ht="25.5" customHeight="1" x14ac:dyDescent="0.2">
      <c r="A70" s="28" t="s">
        <v>177</v>
      </c>
      <c r="B70" s="47" t="s">
        <v>178</v>
      </c>
      <c r="C70" s="59" t="s">
        <v>179</v>
      </c>
      <c r="D70" s="414">
        <f t="shared" ref="D70:E70" si="12">SUM(D22+D31+D45+D57+D63+D66+D69)</f>
        <v>534111311.33333337</v>
      </c>
      <c r="E70" s="414">
        <f t="shared" si="12"/>
        <v>546801093.33333325</v>
      </c>
      <c r="F70" s="415">
        <f>SUM(F22+F31+F45+F57+F63+F66+F69)</f>
        <v>253605481</v>
      </c>
    </row>
    <row r="71" spans="1:6" s="10" customFormat="1" ht="14.25" customHeight="1" x14ac:dyDescent="0.2">
      <c r="A71" s="7" t="s">
        <v>180</v>
      </c>
      <c r="B71" s="1240" t="s">
        <v>181</v>
      </c>
      <c r="C71" s="1241" t="s">
        <v>182</v>
      </c>
      <c r="D71" s="1088"/>
      <c r="E71" s="1088"/>
      <c r="F71" s="452"/>
    </row>
    <row r="72" spans="1:6" s="10" customFormat="1" ht="14.25" customHeight="1" x14ac:dyDescent="0.2">
      <c r="A72" s="11" t="s">
        <v>183</v>
      </c>
      <c r="B72" s="1243" t="s">
        <v>184</v>
      </c>
      <c r="C72" s="1244" t="s">
        <v>185</v>
      </c>
      <c r="D72" s="1302">
        <f t="shared" ref="D72:F72" si="13">SUM(D73:D74)</f>
        <v>21202318</v>
      </c>
      <c r="E72" s="425">
        <f t="shared" si="13"/>
        <v>21202318</v>
      </c>
      <c r="F72" s="1303">
        <f t="shared" si="13"/>
        <v>4786508</v>
      </c>
    </row>
    <row r="73" spans="1:6" s="10" customFormat="1" ht="14.25" customHeight="1" x14ac:dyDescent="0.2">
      <c r="A73" s="11" t="s">
        <v>186</v>
      </c>
      <c r="B73" s="1304" t="s">
        <v>187</v>
      </c>
      <c r="C73" s="1244" t="s">
        <v>188</v>
      </c>
      <c r="D73" s="1089">
        <v>21202318</v>
      </c>
      <c r="E73" s="1089">
        <v>21202318</v>
      </c>
      <c r="F73" s="448">
        <v>4786508</v>
      </c>
    </row>
    <row r="74" spans="1:6" s="10" customFormat="1" ht="14.25" customHeight="1" x14ac:dyDescent="0.2">
      <c r="A74" s="19" t="s">
        <v>189</v>
      </c>
      <c r="B74" s="1305" t="s">
        <v>190</v>
      </c>
      <c r="C74" s="1244" t="s">
        <v>191</v>
      </c>
      <c r="D74" s="1256"/>
      <c r="E74" s="1256"/>
      <c r="F74" s="413"/>
    </row>
    <row r="75" spans="1:6" s="10" customFormat="1" ht="24.75" customHeight="1" x14ac:dyDescent="0.2">
      <c r="A75" s="28" t="s">
        <v>192</v>
      </c>
      <c r="B75" s="1306" t="s">
        <v>193</v>
      </c>
      <c r="C75" s="1259" t="s">
        <v>194</v>
      </c>
      <c r="D75" s="809">
        <f t="shared" ref="D75:E75" si="14">SUM(D71:D72)</f>
        <v>21202318</v>
      </c>
      <c r="E75" s="414">
        <f t="shared" si="14"/>
        <v>21202318</v>
      </c>
      <c r="F75" s="1271">
        <f>SUM(F71:F72)</f>
        <v>4786508</v>
      </c>
    </row>
    <row r="76" spans="1:6" s="10" customFormat="1" ht="27" customHeight="1" x14ac:dyDescent="0.2">
      <c r="A76" s="28" t="s">
        <v>195</v>
      </c>
      <c r="B76" s="1306" t="s">
        <v>196</v>
      </c>
      <c r="C76" s="1259" t="s">
        <v>606</v>
      </c>
      <c r="D76" s="809">
        <f t="shared" ref="D76:E76" si="15">SUM(D75,D70)</f>
        <v>555313629.33333337</v>
      </c>
      <c r="E76" s="414">
        <f t="shared" si="15"/>
        <v>568003411.33333325</v>
      </c>
      <c r="F76" s="1271">
        <f>SUM(F75,F70)</f>
        <v>258391989</v>
      </c>
    </row>
    <row r="77" spans="1:6" ht="17.25" customHeight="1" x14ac:dyDescent="0.25">
      <c r="A77" s="1104"/>
      <c r="B77" s="1104"/>
      <c r="C77" s="1104"/>
      <c r="D77" s="1104"/>
      <c r="E77" s="1104"/>
      <c r="F77" s="1104"/>
    </row>
    <row r="78" spans="1:6" s="63" customFormat="1" ht="16.5" customHeight="1" x14ac:dyDescent="0.25">
      <c r="A78" s="1104" t="s">
        <v>197</v>
      </c>
      <c r="B78" s="1104"/>
      <c r="C78" s="1104"/>
      <c r="D78" s="1104"/>
      <c r="E78" s="1104"/>
      <c r="F78" s="1104"/>
    </row>
    <row r="79" spans="1:6" ht="38.1" customHeight="1" x14ac:dyDescent="0.25">
      <c r="A79" s="3" t="s">
        <v>2</v>
      </c>
      <c r="B79" s="4" t="s">
        <v>198</v>
      </c>
      <c r="C79" s="4" t="s">
        <v>4</v>
      </c>
      <c r="D79" s="247" t="s">
        <v>500</v>
      </c>
      <c r="E79" s="247" t="s">
        <v>936</v>
      </c>
      <c r="F79" s="247" t="s">
        <v>937</v>
      </c>
    </row>
    <row r="80" spans="1:6" s="6" customFormat="1" ht="12" customHeight="1" x14ac:dyDescent="0.2">
      <c r="A80" s="3" t="s">
        <v>5</v>
      </c>
      <c r="B80" s="4" t="s">
        <v>6</v>
      </c>
      <c r="C80" s="4" t="s">
        <v>7</v>
      </c>
      <c r="D80" s="790" t="s">
        <v>8</v>
      </c>
      <c r="E80" s="790" t="s">
        <v>263</v>
      </c>
      <c r="F80" s="5" t="s">
        <v>422</v>
      </c>
    </row>
    <row r="81" spans="1:6" ht="16.5" customHeight="1" x14ac:dyDescent="0.25">
      <c r="A81" s="77" t="s">
        <v>9</v>
      </c>
      <c r="B81" s="32" t="s">
        <v>199</v>
      </c>
      <c r="C81" s="33" t="s">
        <v>200</v>
      </c>
      <c r="D81" s="795">
        <v>160637797.43735763</v>
      </c>
      <c r="E81" s="795">
        <v>161129628</v>
      </c>
      <c r="F81" s="984">
        <v>85450018</v>
      </c>
    </row>
    <row r="82" spans="1:6" ht="16.5" customHeight="1" x14ac:dyDescent="0.25">
      <c r="A82" s="50" t="s">
        <v>12</v>
      </c>
      <c r="B82" s="66" t="s">
        <v>201</v>
      </c>
      <c r="C82" s="67" t="s">
        <v>202</v>
      </c>
      <c r="D82" s="796">
        <v>19811728.062642369</v>
      </c>
      <c r="E82" s="796">
        <v>19811728.062642369</v>
      </c>
      <c r="F82" s="984">
        <v>11165296</v>
      </c>
    </row>
    <row r="83" spans="1:6" ht="16.5" customHeight="1" x14ac:dyDescent="0.25">
      <c r="A83" s="50" t="s">
        <v>15</v>
      </c>
      <c r="B83" s="66" t="s">
        <v>203</v>
      </c>
      <c r="C83" s="67" t="s">
        <v>204</v>
      </c>
      <c r="D83" s="796">
        <v>79542551.299212605</v>
      </c>
      <c r="E83" s="796">
        <f>79742552-1155960+63694+734251</f>
        <v>79384537</v>
      </c>
      <c r="F83" s="984">
        <v>38517878</v>
      </c>
    </row>
    <row r="84" spans="1:6" ht="16.5" customHeight="1" x14ac:dyDescent="0.25">
      <c r="A84" s="50" t="s">
        <v>18</v>
      </c>
      <c r="B84" s="66" t="s">
        <v>205</v>
      </c>
      <c r="C84" s="67" t="s">
        <v>206</v>
      </c>
      <c r="D84" s="796">
        <v>3100000</v>
      </c>
      <c r="E84" s="796">
        <v>3100000</v>
      </c>
      <c r="F84" s="984">
        <v>328000</v>
      </c>
    </row>
    <row r="85" spans="1:6" ht="16.5" customHeight="1" x14ac:dyDescent="0.25">
      <c r="A85" s="50" t="s">
        <v>21</v>
      </c>
      <c r="B85" s="66" t="s">
        <v>207</v>
      </c>
      <c r="C85" s="67" t="s">
        <v>208</v>
      </c>
      <c r="D85" s="1250">
        <f t="shared" ref="D85:F85" si="16">SUM(D86:D92)</f>
        <v>8192702</v>
      </c>
      <c r="E85" s="1250">
        <f t="shared" si="16"/>
        <v>20006550</v>
      </c>
      <c r="F85" s="984">
        <f t="shared" si="16"/>
        <v>2662000</v>
      </c>
    </row>
    <row r="86" spans="1:6" ht="16.5" customHeight="1" x14ac:dyDescent="0.25">
      <c r="A86" s="50" t="s">
        <v>24</v>
      </c>
      <c r="B86" s="66" t="s">
        <v>209</v>
      </c>
      <c r="C86" s="67" t="s">
        <v>848</v>
      </c>
      <c r="D86" s="796">
        <v>5492702</v>
      </c>
      <c r="E86" s="796">
        <f>5492702+9584882</f>
        <v>15077584</v>
      </c>
      <c r="F86" s="984">
        <v>100000</v>
      </c>
    </row>
    <row r="87" spans="1:6" ht="16.5" customHeight="1" x14ac:dyDescent="0.25">
      <c r="A87" s="50" t="s">
        <v>27</v>
      </c>
      <c r="B87" s="68" t="s">
        <v>211</v>
      </c>
      <c r="C87" s="94" t="s">
        <v>212</v>
      </c>
      <c r="D87" s="797">
        <v>0</v>
      </c>
      <c r="E87" s="797">
        <v>0</v>
      </c>
      <c r="F87" s="984"/>
    </row>
    <row r="88" spans="1:6" ht="16.5" customHeight="1" x14ac:dyDescent="0.25">
      <c r="A88" s="50" t="s">
        <v>30</v>
      </c>
      <c r="B88" s="68" t="s">
        <v>213</v>
      </c>
      <c r="C88" s="94" t="s">
        <v>214</v>
      </c>
      <c r="D88" s="797">
        <v>0</v>
      </c>
      <c r="E88" s="797">
        <v>0</v>
      </c>
      <c r="F88" s="984"/>
    </row>
    <row r="89" spans="1:6" ht="16.5" customHeight="1" x14ac:dyDescent="0.25">
      <c r="A89" s="50" t="s">
        <v>33</v>
      </c>
      <c r="B89" s="69" t="s">
        <v>215</v>
      </c>
      <c r="C89" s="94" t="s">
        <v>216</v>
      </c>
      <c r="D89" s="797">
        <v>0</v>
      </c>
      <c r="E89" s="797">
        <v>0</v>
      </c>
      <c r="F89" s="984"/>
    </row>
    <row r="90" spans="1:6" ht="16.5" customHeight="1" x14ac:dyDescent="0.25">
      <c r="A90" s="50" t="s">
        <v>36</v>
      </c>
      <c r="B90" s="68" t="s">
        <v>217</v>
      </c>
      <c r="C90" s="94" t="s">
        <v>218</v>
      </c>
      <c r="D90" s="797">
        <v>0</v>
      </c>
      <c r="E90" s="797">
        <v>0</v>
      </c>
      <c r="F90" s="984"/>
    </row>
    <row r="91" spans="1:6" ht="16.5" customHeight="1" x14ac:dyDescent="0.25">
      <c r="A91" s="50" t="s">
        <v>38</v>
      </c>
      <c r="B91" s="68" t="s">
        <v>219</v>
      </c>
      <c r="C91" s="94" t="s">
        <v>220</v>
      </c>
      <c r="D91" s="797">
        <v>2700000</v>
      </c>
      <c r="E91" s="797">
        <v>2700000</v>
      </c>
      <c r="F91" s="984">
        <v>2562000</v>
      </c>
    </row>
    <row r="92" spans="1:6" ht="16.5" customHeight="1" x14ac:dyDescent="0.25">
      <c r="A92" s="50" t="s">
        <v>40</v>
      </c>
      <c r="B92" s="68" t="s">
        <v>221</v>
      </c>
      <c r="C92" s="94" t="s">
        <v>222</v>
      </c>
      <c r="D92" s="797">
        <f>SUM(D93:D94)</f>
        <v>0</v>
      </c>
      <c r="E92" s="797">
        <f t="shared" ref="E92:F92" si="17">SUM(E93:E94)</f>
        <v>2228966</v>
      </c>
      <c r="F92" s="441">
        <f t="shared" si="17"/>
        <v>0</v>
      </c>
    </row>
    <row r="93" spans="1:6" ht="16.5" customHeight="1" x14ac:dyDescent="0.25">
      <c r="A93" s="50" t="s">
        <v>42</v>
      </c>
      <c r="B93" s="68" t="s">
        <v>223</v>
      </c>
      <c r="C93" s="70" t="s">
        <v>222</v>
      </c>
      <c r="D93" s="798"/>
      <c r="E93" s="798">
        <v>2228966</v>
      </c>
      <c r="F93" s="441"/>
    </row>
    <row r="94" spans="1:6" ht="16.5" customHeight="1" x14ac:dyDescent="0.25">
      <c r="A94" s="799" t="s">
        <v>44</v>
      </c>
      <c r="B94" s="800" t="s">
        <v>224</v>
      </c>
      <c r="C94" s="801" t="s">
        <v>222</v>
      </c>
      <c r="D94" s="802"/>
      <c r="E94" s="802"/>
      <c r="F94" s="803"/>
    </row>
    <row r="95" spans="1:6" ht="16.5" customHeight="1" x14ac:dyDescent="0.25">
      <c r="A95" s="73" t="s">
        <v>46</v>
      </c>
      <c r="B95" s="74" t="s">
        <v>418</v>
      </c>
      <c r="C95" s="30" t="s">
        <v>225</v>
      </c>
      <c r="D95" s="792">
        <f>SUM(D81:D85)</f>
        <v>271284778.79921257</v>
      </c>
      <c r="E95" s="792">
        <f t="shared" ref="E95" si="18">SUM(E81:E85)</f>
        <v>283432443.06264234</v>
      </c>
      <c r="F95" s="449">
        <f>SUM(F81:F85)</f>
        <v>138123192</v>
      </c>
    </row>
    <row r="96" spans="1:6" ht="16.5" customHeight="1" x14ac:dyDescent="0.25">
      <c r="A96" s="77" t="s">
        <v>48</v>
      </c>
      <c r="B96" s="32" t="s">
        <v>226</v>
      </c>
      <c r="C96" s="33" t="s">
        <v>227</v>
      </c>
      <c r="D96" s="795">
        <v>113110550</v>
      </c>
      <c r="E96" s="795">
        <v>113110550</v>
      </c>
      <c r="F96" s="447">
        <v>56000</v>
      </c>
    </row>
    <row r="97" spans="1:6" ht="16.5" customHeight="1" x14ac:dyDescent="0.25">
      <c r="A97" s="50" t="s">
        <v>50</v>
      </c>
      <c r="B97" s="66" t="s">
        <v>228</v>
      </c>
      <c r="C97" s="67" t="s">
        <v>229</v>
      </c>
      <c r="D97" s="796">
        <v>43127714</v>
      </c>
      <c r="E97" s="796">
        <f>43127714</f>
        <v>43127714</v>
      </c>
      <c r="F97" s="409"/>
    </row>
    <row r="98" spans="1:6" ht="16.5" customHeight="1" x14ac:dyDescent="0.25">
      <c r="A98" s="50" t="s">
        <v>53</v>
      </c>
      <c r="B98" s="1243" t="s">
        <v>230</v>
      </c>
      <c r="C98" s="1244" t="s">
        <v>231</v>
      </c>
      <c r="D98" s="1276">
        <f t="shared" ref="D98:F98" si="19">SUM(D99:D104)</f>
        <v>565000</v>
      </c>
      <c r="E98" s="1276">
        <f t="shared" si="19"/>
        <v>565000</v>
      </c>
      <c r="F98" s="409">
        <f t="shared" si="19"/>
        <v>0</v>
      </c>
    </row>
    <row r="99" spans="1:6" ht="16.5" customHeight="1" x14ac:dyDescent="0.25">
      <c r="A99" s="50" t="s">
        <v>56</v>
      </c>
      <c r="B99" s="612" t="s">
        <v>232</v>
      </c>
      <c r="C99" s="1272" t="s">
        <v>233</v>
      </c>
      <c r="D99" s="1274"/>
      <c r="E99" s="1274"/>
      <c r="F99" s="609">
        <f>SUM(D99:E99)</f>
        <v>0</v>
      </c>
    </row>
    <row r="100" spans="1:6" ht="16.5" customHeight="1" x14ac:dyDescent="0.25">
      <c r="A100" s="50" t="s">
        <v>59</v>
      </c>
      <c r="B100" s="613" t="s">
        <v>213</v>
      </c>
      <c r="C100" s="1272" t="s">
        <v>234</v>
      </c>
      <c r="D100" s="1274"/>
      <c r="E100" s="1274"/>
      <c r="F100" s="609">
        <f>SUM(D100:E100)</f>
        <v>0</v>
      </c>
    </row>
    <row r="101" spans="1:6" ht="16.5" customHeight="1" x14ac:dyDescent="0.25">
      <c r="A101" s="50" t="s">
        <v>61</v>
      </c>
      <c r="B101" s="613" t="s">
        <v>235</v>
      </c>
      <c r="C101" s="1272" t="s">
        <v>236</v>
      </c>
      <c r="D101" s="1274"/>
      <c r="E101" s="1274"/>
      <c r="F101" s="609">
        <f>SUM(D101:E101)</f>
        <v>0</v>
      </c>
    </row>
    <row r="102" spans="1:6" ht="16.5" customHeight="1" x14ac:dyDescent="0.25">
      <c r="A102" s="50" t="s">
        <v>63</v>
      </c>
      <c r="B102" s="613" t="s">
        <v>237</v>
      </c>
      <c r="C102" s="1272" t="s">
        <v>238</v>
      </c>
      <c r="D102" s="1274"/>
      <c r="E102" s="1274"/>
      <c r="F102" s="609">
        <f>SUM(D102:E102)</f>
        <v>0</v>
      </c>
    </row>
    <row r="103" spans="1:6" ht="16.5" customHeight="1" x14ac:dyDescent="0.25">
      <c r="A103" s="50" t="s">
        <v>65</v>
      </c>
      <c r="B103" s="613" t="s">
        <v>239</v>
      </c>
      <c r="C103" s="1272" t="s">
        <v>240</v>
      </c>
      <c r="D103" s="1274"/>
      <c r="E103" s="1274"/>
      <c r="F103" s="609">
        <f>SUM(D103:E103)</f>
        <v>0</v>
      </c>
    </row>
    <row r="104" spans="1:6" ht="16.5" customHeight="1" x14ac:dyDescent="0.25">
      <c r="A104" s="799" t="s">
        <v>67</v>
      </c>
      <c r="B104" s="804" t="s">
        <v>241</v>
      </c>
      <c r="C104" s="1307" t="s">
        <v>242</v>
      </c>
      <c r="D104" s="1308">
        <v>565000</v>
      </c>
      <c r="E104" s="1308">
        <v>565000</v>
      </c>
      <c r="F104" s="805"/>
    </row>
    <row r="105" spans="1:6" ht="16.5" customHeight="1" x14ac:dyDescent="0.25">
      <c r="A105" s="73" t="s">
        <v>69</v>
      </c>
      <c r="B105" s="74" t="s">
        <v>417</v>
      </c>
      <c r="C105" s="30" t="s">
        <v>243</v>
      </c>
      <c r="D105" s="792">
        <f>+D96+D97+D98</f>
        <v>156803264</v>
      </c>
      <c r="E105" s="792">
        <f t="shared" ref="E105" si="20">+E96+E97+E98</f>
        <v>156803264</v>
      </c>
      <c r="F105" s="415">
        <f>+F96+F97+F98</f>
        <v>56000</v>
      </c>
    </row>
    <row r="106" spans="1:6" ht="16.5" customHeight="1" x14ac:dyDescent="0.25">
      <c r="A106" s="76" t="s">
        <v>71</v>
      </c>
      <c r="B106" s="47" t="s">
        <v>244</v>
      </c>
      <c r="C106" s="30" t="s">
        <v>245</v>
      </c>
      <c r="D106" s="793">
        <f t="shared" ref="D106:E106" si="21">SUM(D95+D105)</f>
        <v>428088042.79921257</v>
      </c>
      <c r="E106" s="794">
        <f t="shared" si="21"/>
        <v>440235707.06264234</v>
      </c>
      <c r="F106" s="453">
        <f>SUM(F95+F105)</f>
        <v>138179192</v>
      </c>
    </row>
    <row r="107" spans="1:6" ht="16.5" customHeight="1" x14ac:dyDescent="0.25">
      <c r="A107" s="77" t="s">
        <v>74</v>
      </c>
      <c r="B107" s="1309" t="s">
        <v>246</v>
      </c>
      <c r="C107" s="1310" t="s">
        <v>247</v>
      </c>
      <c r="D107" s="1311"/>
      <c r="E107" s="1311"/>
      <c r="F107" s="454"/>
    </row>
    <row r="108" spans="1:6" ht="16.5" customHeight="1" x14ac:dyDescent="0.25">
      <c r="A108" s="50" t="s">
        <v>77</v>
      </c>
      <c r="B108" s="80" t="s">
        <v>248</v>
      </c>
      <c r="C108" s="67" t="s">
        <v>249</v>
      </c>
      <c r="D108" s="796"/>
      <c r="E108" s="796"/>
      <c r="F108" s="409"/>
    </row>
    <row r="109" spans="1:6" ht="16.5" customHeight="1" x14ac:dyDescent="0.25">
      <c r="A109" s="81" t="s">
        <v>80</v>
      </c>
      <c r="B109" s="80" t="s">
        <v>250</v>
      </c>
      <c r="C109" s="67" t="s">
        <v>251</v>
      </c>
      <c r="D109" s="796">
        <v>6750837</v>
      </c>
      <c r="E109" s="796">
        <v>6750837</v>
      </c>
      <c r="F109" s="409">
        <v>6750837</v>
      </c>
    </row>
    <row r="110" spans="1:6" ht="16.5" customHeight="1" x14ac:dyDescent="0.25">
      <c r="A110" s="50" t="s">
        <v>82</v>
      </c>
      <c r="B110" s="80" t="s">
        <v>400</v>
      </c>
      <c r="C110" s="67" t="s">
        <v>399</v>
      </c>
      <c r="D110" s="796">
        <f>'[21]10.sz.mell'!D39+'[21]11.sz.mell'!D37+'[21]12.sz.mell'!D37</f>
        <v>120474749.33333334</v>
      </c>
      <c r="E110" s="796">
        <f>120474749+542118</f>
        <v>121016867</v>
      </c>
      <c r="F110" s="409">
        <v>59062276</v>
      </c>
    </row>
    <row r="111" spans="1:6" ht="16.5" customHeight="1" x14ac:dyDescent="0.25">
      <c r="A111" s="81" t="s">
        <v>84</v>
      </c>
      <c r="B111" s="80" t="s">
        <v>252</v>
      </c>
      <c r="C111" s="67" t="s">
        <v>253</v>
      </c>
      <c r="D111" s="796"/>
      <c r="E111" s="796"/>
      <c r="F111" s="409"/>
    </row>
    <row r="112" spans="1:6" ht="16.5" customHeight="1" x14ac:dyDescent="0.25">
      <c r="A112" s="50" t="s">
        <v>86</v>
      </c>
      <c r="B112" s="29" t="s">
        <v>254</v>
      </c>
      <c r="C112" s="30" t="s">
        <v>255</v>
      </c>
      <c r="D112" s="792">
        <f t="shared" ref="D112:E112" si="22">SUM(D107:D111)</f>
        <v>127225586.33333334</v>
      </c>
      <c r="E112" s="792">
        <f t="shared" si="22"/>
        <v>127767704</v>
      </c>
      <c r="F112" s="1312">
        <f>SUM(F107:F111)</f>
        <v>65813113</v>
      </c>
    </row>
    <row r="113" spans="1:6" s="10" customFormat="1" ht="24.75" customHeight="1" x14ac:dyDescent="0.2">
      <c r="A113" s="806" t="s">
        <v>89</v>
      </c>
      <c r="B113" s="1258" t="s">
        <v>256</v>
      </c>
      <c r="C113" s="1313" t="s">
        <v>257</v>
      </c>
      <c r="D113" s="1314">
        <f t="shared" ref="D113:E113" si="23">D106+D112</f>
        <v>555313629.13254595</v>
      </c>
      <c r="E113" s="1314">
        <f t="shared" si="23"/>
        <v>568003411.06264234</v>
      </c>
      <c r="F113" s="1312">
        <f>F106+F112</f>
        <v>203992305</v>
      </c>
    </row>
    <row r="114" spans="1:6" ht="16.5" customHeight="1" x14ac:dyDescent="0.25"/>
    <row r="115" spans="1:6" x14ac:dyDescent="0.25">
      <c r="D115" s="1315">
        <f>D76-D113</f>
        <v>0.20078742504119873</v>
      </c>
      <c r="E115" s="1315">
        <f>E76-E113</f>
        <v>0.27069091796875</v>
      </c>
      <c r="F115" s="1315"/>
    </row>
  </sheetData>
  <mergeCells count="5">
    <mergeCell ref="A1:F1"/>
    <mergeCell ref="A2:F2"/>
    <mergeCell ref="A3:B3"/>
    <mergeCell ref="A77:F77"/>
    <mergeCell ref="A78:F7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2"/>
  <sheetViews>
    <sheetView workbookViewId="0">
      <selection sqref="A1:L1"/>
    </sheetView>
  </sheetViews>
  <sheetFormatPr defaultRowHeight="12.75" x14ac:dyDescent="0.2"/>
  <cols>
    <col min="1" max="1" width="6.6640625" style="224" customWidth="1"/>
    <col min="2" max="2" width="24.6640625" style="187" customWidth="1"/>
    <col min="3" max="3" width="13" style="187" customWidth="1"/>
    <col min="4" max="4" width="12.5" style="225" customWidth="1"/>
    <col min="5" max="5" width="15.5" style="225" customWidth="1"/>
    <col min="6" max="6" width="11.5" style="225" customWidth="1"/>
    <col min="7" max="7" width="13" style="225" customWidth="1"/>
    <col min="8" max="9" width="14" style="225" customWidth="1"/>
    <col min="10" max="10" width="13.33203125" style="187" customWidth="1"/>
    <col min="11" max="11" width="14.83203125" style="187" customWidth="1"/>
    <col min="12" max="12" width="14.6640625" style="187" customWidth="1"/>
    <col min="13" max="257" width="9.33203125" style="187"/>
    <col min="258" max="258" width="6.6640625" style="187" customWidth="1"/>
    <col min="259" max="259" width="24.6640625" style="187" customWidth="1"/>
    <col min="260" max="260" width="13" style="187" customWidth="1"/>
    <col min="261" max="262" width="15.5" style="187" customWidth="1"/>
    <col min="263" max="263" width="11.5" style="187" customWidth="1"/>
    <col min="264" max="264" width="13" style="187" customWidth="1"/>
    <col min="265" max="266" width="14" style="187" customWidth="1"/>
    <col min="267" max="267" width="13.33203125" style="187" customWidth="1"/>
    <col min="268" max="268" width="14.6640625" style="187" customWidth="1"/>
    <col min="269" max="513" width="9.33203125" style="187"/>
    <col min="514" max="514" width="6.6640625" style="187" customWidth="1"/>
    <col min="515" max="515" width="24.6640625" style="187" customWidth="1"/>
    <col min="516" max="516" width="13" style="187" customWidth="1"/>
    <col min="517" max="518" width="15.5" style="187" customWidth="1"/>
    <col min="519" max="519" width="11.5" style="187" customWidth="1"/>
    <col min="520" max="520" width="13" style="187" customWidth="1"/>
    <col min="521" max="522" width="14" style="187" customWidth="1"/>
    <col min="523" max="523" width="13.33203125" style="187" customWidth="1"/>
    <col min="524" max="524" width="14.6640625" style="187" customWidth="1"/>
    <col min="525" max="769" width="9.33203125" style="187"/>
    <col min="770" max="770" width="6.6640625" style="187" customWidth="1"/>
    <col min="771" max="771" width="24.6640625" style="187" customWidth="1"/>
    <col min="772" max="772" width="13" style="187" customWidth="1"/>
    <col min="773" max="774" width="15.5" style="187" customWidth="1"/>
    <col min="775" max="775" width="11.5" style="187" customWidth="1"/>
    <col min="776" max="776" width="13" style="187" customWidth="1"/>
    <col min="777" max="778" width="14" style="187" customWidth="1"/>
    <col min="779" max="779" width="13.33203125" style="187" customWidth="1"/>
    <col min="780" max="780" width="14.6640625" style="187" customWidth="1"/>
    <col min="781" max="1025" width="9.33203125" style="187"/>
    <col min="1026" max="1026" width="6.6640625" style="187" customWidth="1"/>
    <col min="1027" max="1027" width="24.6640625" style="187" customWidth="1"/>
    <col min="1028" max="1028" width="13" style="187" customWidth="1"/>
    <col min="1029" max="1030" width="15.5" style="187" customWidth="1"/>
    <col min="1031" max="1031" width="11.5" style="187" customWidth="1"/>
    <col min="1032" max="1032" width="13" style="187" customWidth="1"/>
    <col min="1033" max="1034" width="14" style="187" customWidth="1"/>
    <col min="1035" max="1035" width="13.33203125" style="187" customWidth="1"/>
    <col min="1036" max="1036" width="14.6640625" style="187" customWidth="1"/>
    <col min="1037" max="1281" width="9.33203125" style="187"/>
    <col min="1282" max="1282" width="6.6640625" style="187" customWidth="1"/>
    <col min="1283" max="1283" width="24.6640625" style="187" customWidth="1"/>
    <col min="1284" max="1284" width="13" style="187" customWidth="1"/>
    <col min="1285" max="1286" width="15.5" style="187" customWidth="1"/>
    <col min="1287" max="1287" width="11.5" style="187" customWidth="1"/>
    <col min="1288" max="1288" width="13" style="187" customWidth="1"/>
    <col min="1289" max="1290" width="14" style="187" customWidth="1"/>
    <col min="1291" max="1291" width="13.33203125" style="187" customWidth="1"/>
    <col min="1292" max="1292" width="14.6640625" style="187" customWidth="1"/>
    <col min="1293" max="1537" width="9.33203125" style="187"/>
    <col min="1538" max="1538" width="6.6640625" style="187" customWidth="1"/>
    <col min="1539" max="1539" width="24.6640625" style="187" customWidth="1"/>
    <col min="1540" max="1540" width="13" style="187" customWidth="1"/>
    <col min="1541" max="1542" width="15.5" style="187" customWidth="1"/>
    <col min="1543" max="1543" width="11.5" style="187" customWidth="1"/>
    <col min="1544" max="1544" width="13" style="187" customWidth="1"/>
    <col min="1545" max="1546" width="14" style="187" customWidth="1"/>
    <col min="1547" max="1547" width="13.33203125" style="187" customWidth="1"/>
    <col min="1548" max="1548" width="14.6640625" style="187" customWidth="1"/>
    <col min="1549" max="1793" width="9.33203125" style="187"/>
    <col min="1794" max="1794" width="6.6640625" style="187" customWidth="1"/>
    <col min="1795" max="1795" width="24.6640625" style="187" customWidth="1"/>
    <col min="1796" max="1796" width="13" style="187" customWidth="1"/>
    <col min="1797" max="1798" width="15.5" style="187" customWidth="1"/>
    <col min="1799" max="1799" width="11.5" style="187" customWidth="1"/>
    <col min="1800" max="1800" width="13" style="187" customWidth="1"/>
    <col min="1801" max="1802" width="14" style="187" customWidth="1"/>
    <col min="1803" max="1803" width="13.33203125" style="187" customWidth="1"/>
    <col min="1804" max="1804" width="14.6640625" style="187" customWidth="1"/>
    <col min="1805" max="2049" width="9.33203125" style="187"/>
    <col min="2050" max="2050" width="6.6640625" style="187" customWidth="1"/>
    <col min="2051" max="2051" width="24.6640625" style="187" customWidth="1"/>
    <col min="2052" max="2052" width="13" style="187" customWidth="1"/>
    <col min="2053" max="2054" width="15.5" style="187" customWidth="1"/>
    <col min="2055" max="2055" width="11.5" style="187" customWidth="1"/>
    <col min="2056" max="2056" width="13" style="187" customWidth="1"/>
    <col min="2057" max="2058" width="14" style="187" customWidth="1"/>
    <col min="2059" max="2059" width="13.33203125" style="187" customWidth="1"/>
    <col min="2060" max="2060" width="14.6640625" style="187" customWidth="1"/>
    <col min="2061" max="2305" width="9.33203125" style="187"/>
    <col min="2306" max="2306" width="6.6640625" style="187" customWidth="1"/>
    <col min="2307" max="2307" width="24.6640625" style="187" customWidth="1"/>
    <col min="2308" max="2308" width="13" style="187" customWidth="1"/>
    <col min="2309" max="2310" width="15.5" style="187" customWidth="1"/>
    <col min="2311" max="2311" width="11.5" style="187" customWidth="1"/>
    <col min="2312" max="2312" width="13" style="187" customWidth="1"/>
    <col min="2313" max="2314" width="14" style="187" customWidth="1"/>
    <col min="2315" max="2315" width="13.33203125" style="187" customWidth="1"/>
    <col min="2316" max="2316" width="14.6640625" style="187" customWidth="1"/>
    <col min="2317" max="2561" width="9.33203125" style="187"/>
    <col min="2562" max="2562" width="6.6640625" style="187" customWidth="1"/>
    <col min="2563" max="2563" width="24.6640625" style="187" customWidth="1"/>
    <col min="2564" max="2564" width="13" style="187" customWidth="1"/>
    <col min="2565" max="2566" width="15.5" style="187" customWidth="1"/>
    <col min="2567" max="2567" width="11.5" style="187" customWidth="1"/>
    <col min="2568" max="2568" width="13" style="187" customWidth="1"/>
    <col min="2569" max="2570" width="14" style="187" customWidth="1"/>
    <col min="2571" max="2571" width="13.33203125" style="187" customWidth="1"/>
    <col min="2572" max="2572" width="14.6640625" style="187" customWidth="1"/>
    <col min="2573" max="2817" width="9.33203125" style="187"/>
    <col min="2818" max="2818" width="6.6640625" style="187" customWidth="1"/>
    <col min="2819" max="2819" width="24.6640625" style="187" customWidth="1"/>
    <col min="2820" max="2820" width="13" style="187" customWidth="1"/>
    <col min="2821" max="2822" width="15.5" style="187" customWidth="1"/>
    <col min="2823" max="2823" width="11.5" style="187" customWidth="1"/>
    <col min="2824" max="2824" width="13" style="187" customWidth="1"/>
    <col min="2825" max="2826" width="14" style="187" customWidth="1"/>
    <col min="2827" max="2827" width="13.33203125" style="187" customWidth="1"/>
    <col min="2828" max="2828" width="14.6640625" style="187" customWidth="1"/>
    <col min="2829" max="3073" width="9.33203125" style="187"/>
    <col min="3074" max="3074" width="6.6640625" style="187" customWidth="1"/>
    <col min="3075" max="3075" width="24.6640625" style="187" customWidth="1"/>
    <col min="3076" max="3076" width="13" style="187" customWidth="1"/>
    <col min="3077" max="3078" width="15.5" style="187" customWidth="1"/>
    <col min="3079" max="3079" width="11.5" style="187" customWidth="1"/>
    <col min="3080" max="3080" width="13" style="187" customWidth="1"/>
    <col min="3081" max="3082" width="14" style="187" customWidth="1"/>
    <col min="3083" max="3083" width="13.33203125" style="187" customWidth="1"/>
    <col min="3084" max="3084" width="14.6640625" style="187" customWidth="1"/>
    <col min="3085" max="3329" width="9.33203125" style="187"/>
    <col min="3330" max="3330" width="6.6640625" style="187" customWidth="1"/>
    <col min="3331" max="3331" width="24.6640625" style="187" customWidth="1"/>
    <col min="3332" max="3332" width="13" style="187" customWidth="1"/>
    <col min="3333" max="3334" width="15.5" style="187" customWidth="1"/>
    <col min="3335" max="3335" width="11.5" style="187" customWidth="1"/>
    <col min="3336" max="3336" width="13" style="187" customWidth="1"/>
    <col min="3337" max="3338" width="14" style="187" customWidth="1"/>
    <col min="3339" max="3339" width="13.33203125" style="187" customWidth="1"/>
    <col min="3340" max="3340" width="14.6640625" style="187" customWidth="1"/>
    <col min="3341" max="3585" width="9.33203125" style="187"/>
    <col min="3586" max="3586" width="6.6640625" style="187" customWidth="1"/>
    <col min="3587" max="3587" width="24.6640625" style="187" customWidth="1"/>
    <col min="3588" max="3588" width="13" style="187" customWidth="1"/>
    <col min="3589" max="3590" width="15.5" style="187" customWidth="1"/>
    <col min="3591" max="3591" width="11.5" style="187" customWidth="1"/>
    <col min="3592" max="3592" width="13" style="187" customWidth="1"/>
    <col min="3593" max="3594" width="14" style="187" customWidth="1"/>
    <col min="3595" max="3595" width="13.33203125" style="187" customWidth="1"/>
    <col min="3596" max="3596" width="14.6640625" style="187" customWidth="1"/>
    <col min="3597" max="3841" width="9.33203125" style="187"/>
    <col min="3842" max="3842" width="6.6640625" style="187" customWidth="1"/>
    <col min="3843" max="3843" width="24.6640625" style="187" customWidth="1"/>
    <col min="3844" max="3844" width="13" style="187" customWidth="1"/>
    <col min="3845" max="3846" width="15.5" style="187" customWidth="1"/>
    <col min="3847" max="3847" width="11.5" style="187" customWidth="1"/>
    <col min="3848" max="3848" width="13" style="187" customWidth="1"/>
    <col min="3849" max="3850" width="14" style="187" customWidth="1"/>
    <col min="3851" max="3851" width="13.33203125" style="187" customWidth="1"/>
    <col min="3852" max="3852" width="14.6640625" style="187" customWidth="1"/>
    <col min="3853" max="4097" width="9.33203125" style="187"/>
    <col min="4098" max="4098" width="6.6640625" style="187" customWidth="1"/>
    <col min="4099" max="4099" width="24.6640625" style="187" customWidth="1"/>
    <col min="4100" max="4100" width="13" style="187" customWidth="1"/>
    <col min="4101" max="4102" width="15.5" style="187" customWidth="1"/>
    <col min="4103" max="4103" width="11.5" style="187" customWidth="1"/>
    <col min="4104" max="4104" width="13" style="187" customWidth="1"/>
    <col min="4105" max="4106" width="14" style="187" customWidth="1"/>
    <col min="4107" max="4107" width="13.33203125" style="187" customWidth="1"/>
    <col min="4108" max="4108" width="14.6640625" style="187" customWidth="1"/>
    <col min="4109" max="4353" width="9.33203125" style="187"/>
    <col min="4354" max="4354" width="6.6640625" style="187" customWidth="1"/>
    <col min="4355" max="4355" width="24.6640625" style="187" customWidth="1"/>
    <col min="4356" max="4356" width="13" style="187" customWidth="1"/>
    <col min="4357" max="4358" width="15.5" style="187" customWidth="1"/>
    <col min="4359" max="4359" width="11.5" style="187" customWidth="1"/>
    <col min="4360" max="4360" width="13" style="187" customWidth="1"/>
    <col min="4361" max="4362" width="14" style="187" customWidth="1"/>
    <col min="4363" max="4363" width="13.33203125" style="187" customWidth="1"/>
    <col min="4364" max="4364" width="14.6640625" style="187" customWidth="1"/>
    <col min="4365" max="4609" width="9.33203125" style="187"/>
    <col min="4610" max="4610" width="6.6640625" style="187" customWidth="1"/>
    <col min="4611" max="4611" width="24.6640625" style="187" customWidth="1"/>
    <col min="4612" max="4612" width="13" style="187" customWidth="1"/>
    <col min="4613" max="4614" width="15.5" style="187" customWidth="1"/>
    <col min="4615" max="4615" width="11.5" style="187" customWidth="1"/>
    <col min="4616" max="4616" width="13" style="187" customWidth="1"/>
    <col min="4617" max="4618" width="14" style="187" customWidth="1"/>
    <col min="4619" max="4619" width="13.33203125" style="187" customWidth="1"/>
    <col min="4620" max="4620" width="14.6640625" style="187" customWidth="1"/>
    <col min="4621" max="4865" width="9.33203125" style="187"/>
    <col min="4866" max="4866" width="6.6640625" style="187" customWidth="1"/>
    <col min="4867" max="4867" width="24.6640625" style="187" customWidth="1"/>
    <col min="4868" max="4868" width="13" style="187" customWidth="1"/>
    <col min="4869" max="4870" width="15.5" style="187" customWidth="1"/>
    <col min="4871" max="4871" width="11.5" style="187" customWidth="1"/>
    <col min="4872" max="4872" width="13" style="187" customWidth="1"/>
    <col min="4873" max="4874" width="14" style="187" customWidth="1"/>
    <col min="4875" max="4875" width="13.33203125" style="187" customWidth="1"/>
    <col min="4876" max="4876" width="14.6640625" style="187" customWidth="1"/>
    <col min="4877" max="5121" width="9.33203125" style="187"/>
    <col min="5122" max="5122" width="6.6640625" style="187" customWidth="1"/>
    <col min="5123" max="5123" width="24.6640625" style="187" customWidth="1"/>
    <col min="5124" max="5124" width="13" style="187" customWidth="1"/>
    <col min="5125" max="5126" width="15.5" style="187" customWidth="1"/>
    <col min="5127" max="5127" width="11.5" style="187" customWidth="1"/>
    <col min="5128" max="5128" width="13" style="187" customWidth="1"/>
    <col min="5129" max="5130" width="14" style="187" customWidth="1"/>
    <col min="5131" max="5131" width="13.33203125" style="187" customWidth="1"/>
    <col min="5132" max="5132" width="14.6640625" style="187" customWidth="1"/>
    <col min="5133" max="5377" width="9.33203125" style="187"/>
    <col min="5378" max="5378" width="6.6640625" style="187" customWidth="1"/>
    <col min="5379" max="5379" width="24.6640625" style="187" customWidth="1"/>
    <col min="5380" max="5380" width="13" style="187" customWidth="1"/>
    <col min="5381" max="5382" width="15.5" style="187" customWidth="1"/>
    <col min="5383" max="5383" width="11.5" style="187" customWidth="1"/>
    <col min="5384" max="5384" width="13" style="187" customWidth="1"/>
    <col min="5385" max="5386" width="14" style="187" customWidth="1"/>
    <col min="5387" max="5387" width="13.33203125" style="187" customWidth="1"/>
    <col min="5388" max="5388" width="14.6640625" style="187" customWidth="1"/>
    <col min="5389" max="5633" width="9.33203125" style="187"/>
    <col min="5634" max="5634" width="6.6640625" style="187" customWidth="1"/>
    <col min="5635" max="5635" width="24.6640625" style="187" customWidth="1"/>
    <col min="5636" max="5636" width="13" style="187" customWidth="1"/>
    <col min="5637" max="5638" width="15.5" style="187" customWidth="1"/>
    <col min="5639" max="5639" width="11.5" style="187" customWidth="1"/>
    <col min="5640" max="5640" width="13" style="187" customWidth="1"/>
    <col min="5641" max="5642" width="14" style="187" customWidth="1"/>
    <col min="5643" max="5643" width="13.33203125" style="187" customWidth="1"/>
    <col min="5644" max="5644" width="14.6640625" style="187" customWidth="1"/>
    <col min="5645" max="5889" width="9.33203125" style="187"/>
    <col min="5890" max="5890" width="6.6640625" style="187" customWidth="1"/>
    <col min="5891" max="5891" width="24.6640625" style="187" customWidth="1"/>
    <col min="5892" max="5892" width="13" style="187" customWidth="1"/>
    <col min="5893" max="5894" width="15.5" style="187" customWidth="1"/>
    <col min="5895" max="5895" width="11.5" style="187" customWidth="1"/>
    <col min="5896" max="5896" width="13" style="187" customWidth="1"/>
    <col min="5897" max="5898" width="14" style="187" customWidth="1"/>
    <col min="5899" max="5899" width="13.33203125" style="187" customWidth="1"/>
    <col min="5900" max="5900" width="14.6640625" style="187" customWidth="1"/>
    <col min="5901" max="6145" width="9.33203125" style="187"/>
    <col min="6146" max="6146" width="6.6640625" style="187" customWidth="1"/>
    <col min="6147" max="6147" width="24.6640625" style="187" customWidth="1"/>
    <col min="6148" max="6148" width="13" style="187" customWidth="1"/>
    <col min="6149" max="6150" width="15.5" style="187" customWidth="1"/>
    <col min="6151" max="6151" width="11.5" style="187" customWidth="1"/>
    <col min="6152" max="6152" width="13" style="187" customWidth="1"/>
    <col min="6153" max="6154" width="14" style="187" customWidth="1"/>
    <col min="6155" max="6155" width="13.33203125" style="187" customWidth="1"/>
    <col min="6156" max="6156" width="14.6640625" style="187" customWidth="1"/>
    <col min="6157" max="6401" width="9.33203125" style="187"/>
    <col min="6402" max="6402" width="6.6640625" style="187" customWidth="1"/>
    <col min="6403" max="6403" width="24.6640625" style="187" customWidth="1"/>
    <col min="6404" max="6404" width="13" style="187" customWidth="1"/>
    <col min="6405" max="6406" width="15.5" style="187" customWidth="1"/>
    <col min="6407" max="6407" width="11.5" style="187" customWidth="1"/>
    <col min="6408" max="6408" width="13" style="187" customWidth="1"/>
    <col min="6409" max="6410" width="14" style="187" customWidth="1"/>
    <col min="6411" max="6411" width="13.33203125" style="187" customWidth="1"/>
    <col min="6412" max="6412" width="14.6640625" style="187" customWidth="1"/>
    <col min="6413" max="6657" width="9.33203125" style="187"/>
    <col min="6658" max="6658" width="6.6640625" style="187" customWidth="1"/>
    <col min="6659" max="6659" width="24.6640625" style="187" customWidth="1"/>
    <col min="6660" max="6660" width="13" style="187" customWidth="1"/>
    <col min="6661" max="6662" width="15.5" style="187" customWidth="1"/>
    <col min="6663" max="6663" width="11.5" style="187" customWidth="1"/>
    <col min="6664" max="6664" width="13" style="187" customWidth="1"/>
    <col min="6665" max="6666" width="14" style="187" customWidth="1"/>
    <col min="6667" max="6667" width="13.33203125" style="187" customWidth="1"/>
    <col min="6668" max="6668" width="14.6640625" style="187" customWidth="1"/>
    <col min="6669" max="6913" width="9.33203125" style="187"/>
    <col min="6914" max="6914" width="6.6640625" style="187" customWidth="1"/>
    <col min="6915" max="6915" width="24.6640625" style="187" customWidth="1"/>
    <col min="6916" max="6916" width="13" style="187" customWidth="1"/>
    <col min="6917" max="6918" width="15.5" style="187" customWidth="1"/>
    <col min="6919" max="6919" width="11.5" style="187" customWidth="1"/>
    <col min="6920" max="6920" width="13" style="187" customWidth="1"/>
    <col min="6921" max="6922" width="14" style="187" customWidth="1"/>
    <col min="6923" max="6923" width="13.33203125" style="187" customWidth="1"/>
    <col min="6924" max="6924" width="14.6640625" style="187" customWidth="1"/>
    <col min="6925" max="7169" width="9.33203125" style="187"/>
    <col min="7170" max="7170" width="6.6640625" style="187" customWidth="1"/>
    <col min="7171" max="7171" width="24.6640625" style="187" customWidth="1"/>
    <col min="7172" max="7172" width="13" style="187" customWidth="1"/>
    <col min="7173" max="7174" width="15.5" style="187" customWidth="1"/>
    <col min="7175" max="7175" width="11.5" style="187" customWidth="1"/>
    <col min="7176" max="7176" width="13" style="187" customWidth="1"/>
    <col min="7177" max="7178" width="14" style="187" customWidth="1"/>
    <col min="7179" max="7179" width="13.33203125" style="187" customWidth="1"/>
    <col min="7180" max="7180" width="14.6640625" style="187" customWidth="1"/>
    <col min="7181" max="7425" width="9.33203125" style="187"/>
    <col min="7426" max="7426" width="6.6640625" style="187" customWidth="1"/>
    <col min="7427" max="7427" width="24.6640625" style="187" customWidth="1"/>
    <col min="7428" max="7428" width="13" style="187" customWidth="1"/>
    <col min="7429" max="7430" width="15.5" style="187" customWidth="1"/>
    <col min="7431" max="7431" width="11.5" style="187" customWidth="1"/>
    <col min="7432" max="7432" width="13" style="187" customWidth="1"/>
    <col min="7433" max="7434" width="14" style="187" customWidth="1"/>
    <col min="7435" max="7435" width="13.33203125" style="187" customWidth="1"/>
    <col min="7436" max="7436" width="14.6640625" style="187" customWidth="1"/>
    <col min="7437" max="7681" width="9.33203125" style="187"/>
    <col min="7682" max="7682" width="6.6640625" style="187" customWidth="1"/>
    <col min="7683" max="7683" width="24.6640625" style="187" customWidth="1"/>
    <col min="7684" max="7684" width="13" style="187" customWidth="1"/>
    <col min="7685" max="7686" width="15.5" style="187" customWidth="1"/>
    <col min="7687" max="7687" width="11.5" style="187" customWidth="1"/>
    <col min="7688" max="7688" width="13" style="187" customWidth="1"/>
    <col min="7689" max="7690" width="14" style="187" customWidth="1"/>
    <col min="7691" max="7691" width="13.33203125" style="187" customWidth="1"/>
    <col min="7692" max="7692" width="14.6640625" style="187" customWidth="1"/>
    <col min="7693" max="7937" width="9.33203125" style="187"/>
    <col min="7938" max="7938" width="6.6640625" style="187" customWidth="1"/>
    <col min="7939" max="7939" width="24.6640625" style="187" customWidth="1"/>
    <col min="7940" max="7940" width="13" style="187" customWidth="1"/>
    <col min="7941" max="7942" width="15.5" style="187" customWidth="1"/>
    <col min="7943" max="7943" width="11.5" style="187" customWidth="1"/>
    <col min="7944" max="7944" width="13" style="187" customWidth="1"/>
    <col min="7945" max="7946" width="14" style="187" customWidth="1"/>
    <col min="7947" max="7947" width="13.33203125" style="187" customWidth="1"/>
    <col min="7948" max="7948" width="14.6640625" style="187" customWidth="1"/>
    <col min="7949" max="8193" width="9.33203125" style="187"/>
    <col min="8194" max="8194" width="6.6640625" style="187" customWidth="1"/>
    <col min="8195" max="8195" width="24.6640625" style="187" customWidth="1"/>
    <col min="8196" max="8196" width="13" style="187" customWidth="1"/>
    <col min="8197" max="8198" width="15.5" style="187" customWidth="1"/>
    <col min="8199" max="8199" width="11.5" style="187" customWidth="1"/>
    <col min="8200" max="8200" width="13" style="187" customWidth="1"/>
    <col min="8201" max="8202" width="14" style="187" customWidth="1"/>
    <col min="8203" max="8203" width="13.33203125" style="187" customWidth="1"/>
    <col min="8204" max="8204" width="14.6640625" style="187" customWidth="1"/>
    <col min="8205" max="8449" width="9.33203125" style="187"/>
    <col min="8450" max="8450" width="6.6640625" style="187" customWidth="1"/>
    <col min="8451" max="8451" width="24.6640625" style="187" customWidth="1"/>
    <col min="8452" max="8452" width="13" style="187" customWidth="1"/>
    <col min="8453" max="8454" width="15.5" style="187" customWidth="1"/>
    <col min="8455" max="8455" width="11.5" style="187" customWidth="1"/>
    <col min="8456" max="8456" width="13" style="187" customWidth="1"/>
    <col min="8457" max="8458" width="14" style="187" customWidth="1"/>
    <col min="8459" max="8459" width="13.33203125" style="187" customWidth="1"/>
    <col min="8460" max="8460" width="14.6640625" style="187" customWidth="1"/>
    <col min="8461" max="8705" width="9.33203125" style="187"/>
    <col min="8706" max="8706" width="6.6640625" style="187" customWidth="1"/>
    <col min="8707" max="8707" width="24.6640625" style="187" customWidth="1"/>
    <col min="8708" max="8708" width="13" style="187" customWidth="1"/>
    <col min="8709" max="8710" width="15.5" style="187" customWidth="1"/>
    <col min="8711" max="8711" width="11.5" style="187" customWidth="1"/>
    <col min="8712" max="8712" width="13" style="187" customWidth="1"/>
    <col min="8713" max="8714" width="14" style="187" customWidth="1"/>
    <col min="8715" max="8715" width="13.33203125" style="187" customWidth="1"/>
    <col min="8716" max="8716" width="14.6640625" style="187" customWidth="1"/>
    <col min="8717" max="8961" width="9.33203125" style="187"/>
    <col min="8962" max="8962" width="6.6640625" style="187" customWidth="1"/>
    <col min="8963" max="8963" width="24.6640625" style="187" customWidth="1"/>
    <col min="8964" max="8964" width="13" style="187" customWidth="1"/>
    <col min="8965" max="8966" width="15.5" style="187" customWidth="1"/>
    <col min="8967" max="8967" width="11.5" style="187" customWidth="1"/>
    <col min="8968" max="8968" width="13" style="187" customWidth="1"/>
    <col min="8969" max="8970" width="14" style="187" customWidth="1"/>
    <col min="8971" max="8971" width="13.33203125" style="187" customWidth="1"/>
    <col min="8972" max="8972" width="14.6640625" style="187" customWidth="1"/>
    <col min="8973" max="9217" width="9.33203125" style="187"/>
    <col min="9218" max="9218" width="6.6640625" style="187" customWidth="1"/>
    <col min="9219" max="9219" width="24.6640625" style="187" customWidth="1"/>
    <col min="9220" max="9220" width="13" style="187" customWidth="1"/>
    <col min="9221" max="9222" width="15.5" style="187" customWidth="1"/>
    <col min="9223" max="9223" width="11.5" style="187" customWidth="1"/>
    <col min="9224" max="9224" width="13" style="187" customWidth="1"/>
    <col min="9225" max="9226" width="14" style="187" customWidth="1"/>
    <col min="9227" max="9227" width="13.33203125" style="187" customWidth="1"/>
    <col min="9228" max="9228" width="14.6640625" style="187" customWidth="1"/>
    <col min="9229" max="9473" width="9.33203125" style="187"/>
    <col min="9474" max="9474" width="6.6640625" style="187" customWidth="1"/>
    <col min="9475" max="9475" width="24.6640625" style="187" customWidth="1"/>
    <col min="9476" max="9476" width="13" style="187" customWidth="1"/>
    <col min="9477" max="9478" width="15.5" style="187" customWidth="1"/>
    <col min="9479" max="9479" width="11.5" style="187" customWidth="1"/>
    <col min="9480" max="9480" width="13" style="187" customWidth="1"/>
    <col min="9481" max="9482" width="14" style="187" customWidth="1"/>
    <col min="9483" max="9483" width="13.33203125" style="187" customWidth="1"/>
    <col min="9484" max="9484" width="14.6640625" style="187" customWidth="1"/>
    <col min="9485" max="9729" width="9.33203125" style="187"/>
    <col min="9730" max="9730" width="6.6640625" style="187" customWidth="1"/>
    <col min="9731" max="9731" width="24.6640625" style="187" customWidth="1"/>
    <col min="9732" max="9732" width="13" style="187" customWidth="1"/>
    <col min="9733" max="9734" width="15.5" style="187" customWidth="1"/>
    <col min="9735" max="9735" width="11.5" style="187" customWidth="1"/>
    <col min="9736" max="9736" width="13" style="187" customWidth="1"/>
    <col min="9737" max="9738" width="14" style="187" customWidth="1"/>
    <col min="9739" max="9739" width="13.33203125" style="187" customWidth="1"/>
    <col min="9740" max="9740" width="14.6640625" style="187" customWidth="1"/>
    <col min="9741" max="9985" width="9.33203125" style="187"/>
    <col min="9986" max="9986" width="6.6640625" style="187" customWidth="1"/>
    <col min="9987" max="9987" width="24.6640625" style="187" customWidth="1"/>
    <col min="9988" max="9988" width="13" style="187" customWidth="1"/>
    <col min="9989" max="9990" width="15.5" style="187" customWidth="1"/>
    <col min="9991" max="9991" width="11.5" style="187" customWidth="1"/>
    <col min="9992" max="9992" width="13" style="187" customWidth="1"/>
    <col min="9993" max="9994" width="14" style="187" customWidth="1"/>
    <col min="9995" max="9995" width="13.33203125" style="187" customWidth="1"/>
    <col min="9996" max="9996" width="14.6640625" style="187" customWidth="1"/>
    <col min="9997" max="10241" width="9.33203125" style="187"/>
    <col min="10242" max="10242" width="6.6640625" style="187" customWidth="1"/>
    <col min="10243" max="10243" width="24.6640625" style="187" customWidth="1"/>
    <col min="10244" max="10244" width="13" style="187" customWidth="1"/>
    <col min="10245" max="10246" width="15.5" style="187" customWidth="1"/>
    <col min="10247" max="10247" width="11.5" style="187" customWidth="1"/>
    <col min="10248" max="10248" width="13" style="187" customWidth="1"/>
    <col min="10249" max="10250" width="14" style="187" customWidth="1"/>
    <col min="10251" max="10251" width="13.33203125" style="187" customWidth="1"/>
    <col min="10252" max="10252" width="14.6640625" style="187" customWidth="1"/>
    <col min="10253" max="10497" width="9.33203125" style="187"/>
    <col min="10498" max="10498" width="6.6640625" style="187" customWidth="1"/>
    <col min="10499" max="10499" width="24.6640625" style="187" customWidth="1"/>
    <col min="10500" max="10500" width="13" style="187" customWidth="1"/>
    <col min="10501" max="10502" width="15.5" style="187" customWidth="1"/>
    <col min="10503" max="10503" width="11.5" style="187" customWidth="1"/>
    <col min="10504" max="10504" width="13" style="187" customWidth="1"/>
    <col min="10505" max="10506" width="14" style="187" customWidth="1"/>
    <col min="10507" max="10507" width="13.33203125" style="187" customWidth="1"/>
    <col min="10508" max="10508" width="14.6640625" style="187" customWidth="1"/>
    <col min="10509" max="10753" width="9.33203125" style="187"/>
    <col min="10754" max="10754" width="6.6640625" style="187" customWidth="1"/>
    <col min="10755" max="10755" width="24.6640625" style="187" customWidth="1"/>
    <col min="10756" max="10756" width="13" style="187" customWidth="1"/>
    <col min="10757" max="10758" width="15.5" style="187" customWidth="1"/>
    <col min="10759" max="10759" width="11.5" style="187" customWidth="1"/>
    <col min="10760" max="10760" width="13" style="187" customWidth="1"/>
    <col min="10761" max="10762" width="14" style="187" customWidth="1"/>
    <col min="10763" max="10763" width="13.33203125" style="187" customWidth="1"/>
    <col min="10764" max="10764" width="14.6640625" style="187" customWidth="1"/>
    <col min="10765" max="11009" width="9.33203125" style="187"/>
    <col min="11010" max="11010" width="6.6640625" style="187" customWidth="1"/>
    <col min="11011" max="11011" width="24.6640625" style="187" customWidth="1"/>
    <col min="11012" max="11012" width="13" style="187" customWidth="1"/>
    <col min="11013" max="11014" width="15.5" style="187" customWidth="1"/>
    <col min="11015" max="11015" width="11.5" style="187" customWidth="1"/>
    <col min="11016" max="11016" width="13" style="187" customWidth="1"/>
    <col min="11017" max="11018" width="14" style="187" customWidth="1"/>
    <col min="11019" max="11019" width="13.33203125" style="187" customWidth="1"/>
    <col min="11020" max="11020" width="14.6640625" style="187" customWidth="1"/>
    <col min="11021" max="11265" width="9.33203125" style="187"/>
    <col min="11266" max="11266" width="6.6640625" style="187" customWidth="1"/>
    <col min="11267" max="11267" width="24.6640625" style="187" customWidth="1"/>
    <col min="11268" max="11268" width="13" style="187" customWidth="1"/>
    <col min="11269" max="11270" width="15.5" style="187" customWidth="1"/>
    <col min="11271" max="11271" width="11.5" style="187" customWidth="1"/>
    <col min="11272" max="11272" width="13" style="187" customWidth="1"/>
    <col min="11273" max="11274" width="14" style="187" customWidth="1"/>
    <col min="11275" max="11275" width="13.33203125" style="187" customWidth="1"/>
    <col min="11276" max="11276" width="14.6640625" style="187" customWidth="1"/>
    <col min="11277" max="11521" width="9.33203125" style="187"/>
    <col min="11522" max="11522" width="6.6640625" style="187" customWidth="1"/>
    <col min="11523" max="11523" width="24.6640625" style="187" customWidth="1"/>
    <col min="11524" max="11524" width="13" style="187" customWidth="1"/>
    <col min="11525" max="11526" width="15.5" style="187" customWidth="1"/>
    <col min="11527" max="11527" width="11.5" style="187" customWidth="1"/>
    <col min="11528" max="11528" width="13" style="187" customWidth="1"/>
    <col min="11529" max="11530" width="14" style="187" customWidth="1"/>
    <col min="11531" max="11531" width="13.33203125" style="187" customWidth="1"/>
    <col min="11532" max="11532" width="14.6640625" style="187" customWidth="1"/>
    <col min="11533" max="11777" width="9.33203125" style="187"/>
    <col min="11778" max="11778" width="6.6640625" style="187" customWidth="1"/>
    <col min="11779" max="11779" width="24.6640625" style="187" customWidth="1"/>
    <col min="11780" max="11780" width="13" style="187" customWidth="1"/>
    <col min="11781" max="11782" width="15.5" style="187" customWidth="1"/>
    <col min="11783" max="11783" width="11.5" style="187" customWidth="1"/>
    <col min="11784" max="11784" width="13" style="187" customWidth="1"/>
    <col min="11785" max="11786" width="14" style="187" customWidth="1"/>
    <col min="11787" max="11787" width="13.33203125" style="187" customWidth="1"/>
    <col min="11788" max="11788" width="14.6640625" style="187" customWidth="1"/>
    <col min="11789" max="12033" width="9.33203125" style="187"/>
    <col min="12034" max="12034" width="6.6640625" style="187" customWidth="1"/>
    <col min="12035" max="12035" width="24.6640625" style="187" customWidth="1"/>
    <col min="12036" max="12036" width="13" style="187" customWidth="1"/>
    <col min="12037" max="12038" width="15.5" style="187" customWidth="1"/>
    <col min="12039" max="12039" width="11.5" style="187" customWidth="1"/>
    <col min="12040" max="12040" width="13" style="187" customWidth="1"/>
    <col min="12041" max="12042" width="14" style="187" customWidth="1"/>
    <col min="12043" max="12043" width="13.33203125" style="187" customWidth="1"/>
    <col min="12044" max="12044" width="14.6640625" style="187" customWidth="1"/>
    <col min="12045" max="12289" width="9.33203125" style="187"/>
    <col min="12290" max="12290" width="6.6640625" style="187" customWidth="1"/>
    <col min="12291" max="12291" width="24.6640625" style="187" customWidth="1"/>
    <col min="12292" max="12292" width="13" style="187" customWidth="1"/>
    <col min="12293" max="12294" width="15.5" style="187" customWidth="1"/>
    <col min="12295" max="12295" width="11.5" style="187" customWidth="1"/>
    <col min="12296" max="12296" width="13" style="187" customWidth="1"/>
    <col min="12297" max="12298" width="14" style="187" customWidth="1"/>
    <col min="12299" max="12299" width="13.33203125" style="187" customWidth="1"/>
    <col min="12300" max="12300" width="14.6640625" style="187" customWidth="1"/>
    <col min="12301" max="12545" width="9.33203125" style="187"/>
    <col min="12546" max="12546" width="6.6640625" style="187" customWidth="1"/>
    <col min="12547" max="12547" width="24.6640625" style="187" customWidth="1"/>
    <col min="12548" max="12548" width="13" style="187" customWidth="1"/>
    <col min="12549" max="12550" width="15.5" style="187" customWidth="1"/>
    <col min="12551" max="12551" width="11.5" style="187" customWidth="1"/>
    <col min="12552" max="12552" width="13" style="187" customWidth="1"/>
    <col min="12553" max="12554" width="14" style="187" customWidth="1"/>
    <col min="12555" max="12555" width="13.33203125" style="187" customWidth="1"/>
    <col min="12556" max="12556" width="14.6640625" style="187" customWidth="1"/>
    <col min="12557" max="12801" width="9.33203125" style="187"/>
    <col min="12802" max="12802" width="6.6640625" style="187" customWidth="1"/>
    <col min="12803" max="12803" width="24.6640625" style="187" customWidth="1"/>
    <col min="12804" max="12804" width="13" style="187" customWidth="1"/>
    <col min="12805" max="12806" width="15.5" style="187" customWidth="1"/>
    <col min="12807" max="12807" width="11.5" style="187" customWidth="1"/>
    <col min="12808" max="12808" width="13" style="187" customWidth="1"/>
    <col min="12809" max="12810" width="14" style="187" customWidth="1"/>
    <col min="12811" max="12811" width="13.33203125" style="187" customWidth="1"/>
    <col min="12812" max="12812" width="14.6640625" style="187" customWidth="1"/>
    <col min="12813" max="13057" width="9.33203125" style="187"/>
    <col min="13058" max="13058" width="6.6640625" style="187" customWidth="1"/>
    <col min="13059" max="13059" width="24.6640625" style="187" customWidth="1"/>
    <col min="13060" max="13060" width="13" style="187" customWidth="1"/>
    <col min="13061" max="13062" width="15.5" style="187" customWidth="1"/>
    <col min="13063" max="13063" width="11.5" style="187" customWidth="1"/>
    <col min="13064" max="13064" width="13" style="187" customWidth="1"/>
    <col min="13065" max="13066" width="14" style="187" customWidth="1"/>
    <col min="13067" max="13067" width="13.33203125" style="187" customWidth="1"/>
    <col min="13068" max="13068" width="14.6640625" style="187" customWidth="1"/>
    <col min="13069" max="13313" width="9.33203125" style="187"/>
    <col min="13314" max="13314" width="6.6640625" style="187" customWidth="1"/>
    <col min="13315" max="13315" width="24.6640625" style="187" customWidth="1"/>
    <col min="13316" max="13316" width="13" style="187" customWidth="1"/>
    <col min="13317" max="13318" width="15.5" style="187" customWidth="1"/>
    <col min="13319" max="13319" width="11.5" style="187" customWidth="1"/>
    <col min="13320" max="13320" width="13" style="187" customWidth="1"/>
    <col min="13321" max="13322" width="14" style="187" customWidth="1"/>
    <col min="13323" max="13323" width="13.33203125" style="187" customWidth="1"/>
    <col min="13324" max="13324" width="14.6640625" style="187" customWidth="1"/>
    <col min="13325" max="13569" width="9.33203125" style="187"/>
    <col min="13570" max="13570" width="6.6640625" style="187" customWidth="1"/>
    <col min="13571" max="13571" width="24.6640625" style="187" customWidth="1"/>
    <col min="13572" max="13572" width="13" style="187" customWidth="1"/>
    <col min="13573" max="13574" width="15.5" style="187" customWidth="1"/>
    <col min="13575" max="13575" width="11.5" style="187" customWidth="1"/>
    <col min="13576" max="13576" width="13" style="187" customWidth="1"/>
    <col min="13577" max="13578" width="14" style="187" customWidth="1"/>
    <col min="13579" max="13579" width="13.33203125" style="187" customWidth="1"/>
    <col min="13580" max="13580" width="14.6640625" style="187" customWidth="1"/>
    <col min="13581" max="13825" width="9.33203125" style="187"/>
    <col min="13826" max="13826" width="6.6640625" style="187" customWidth="1"/>
    <col min="13827" max="13827" width="24.6640625" style="187" customWidth="1"/>
    <col min="13828" max="13828" width="13" style="187" customWidth="1"/>
    <col min="13829" max="13830" width="15.5" style="187" customWidth="1"/>
    <col min="13831" max="13831" width="11.5" style="187" customWidth="1"/>
    <col min="13832" max="13832" width="13" style="187" customWidth="1"/>
    <col min="13833" max="13834" width="14" style="187" customWidth="1"/>
    <col min="13835" max="13835" width="13.33203125" style="187" customWidth="1"/>
    <col min="13836" max="13836" width="14.6640625" style="187" customWidth="1"/>
    <col min="13837" max="14081" width="9.33203125" style="187"/>
    <col min="14082" max="14082" width="6.6640625" style="187" customWidth="1"/>
    <col min="14083" max="14083" width="24.6640625" style="187" customWidth="1"/>
    <col min="14084" max="14084" width="13" style="187" customWidth="1"/>
    <col min="14085" max="14086" width="15.5" style="187" customWidth="1"/>
    <col min="14087" max="14087" width="11.5" style="187" customWidth="1"/>
    <col min="14088" max="14088" width="13" style="187" customWidth="1"/>
    <col min="14089" max="14090" width="14" style="187" customWidth="1"/>
    <col min="14091" max="14091" width="13.33203125" style="187" customWidth="1"/>
    <col min="14092" max="14092" width="14.6640625" style="187" customWidth="1"/>
    <col min="14093" max="14337" width="9.33203125" style="187"/>
    <col min="14338" max="14338" width="6.6640625" style="187" customWidth="1"/>
    <col min="14339" max="14339" width="24.6640625" style="187" customWidth="1"/>
    <col min="14340" max="14340" width="13" style="187" customWidth="1"/>
    <col min="14341" max="14342" width="15.5" style="187" customWidth="1"/>
    <col min="14343" max="14343" width="11.5" style="187" customWidth="1"/>
    <col min="14344" max="14344" width="13" style="187" customWidth="1"/>
    <col min="14345" max="14346" width="14" style="187" customWidth="1"/>
    <col min="14347" max="14347" width="13.33203125" style="187" customWidth="1"/>
    <col min="14348" max="14348" width="14.6640625" style="187" customWidth="1"/>
    <col min="14349" max="14593" width="9.33203125" style="187"/>
    <col min="14594" max="14594" width="6.6640625" style="187" customWidth="1"/>
    <col min="14595" max="14595" width="24.6640625" style="187" customWidth="1"/>
    <col min="14596" max="14596" width="13" style="187" customWidth="1"/>
    <col min="14597" max="14598" width="15.5" style="187" customWidth="1"/>
    <col min="14599" max="14599" width="11.5" style="187" customWidth="1"/>
    <col min="14600" max="14600" width="13" style="187" customWidth="1"/>
    <col min="14601" max="14602" width="14" style="187" customWidth="1"/>
    <col min="14603" max="14603" width="13.33203125" style="187" customWidth="1"/>
    <col min="14604" max="14604" width="14.6640625" style="187" customWidth="1"/>
    <col min="14605" max="14849" width="9.33203125" style="187"/>
    <col min="14850" max="14850" width="6.6640625" style="187" customWidth="1"/>
    <col min="14851" max="14851" width="24.6640625" style="187" customWidth="1"/>
    <col min="14852" max="14852" width="13" style="187" customWidth="1"/>
    <col min="14853" max="14854" width="15.5" style="187" customWidth="1"/>
    <col min="14855" max="14855" width="11.5" style="187" customWidth="1"/>
    <col min="14856" max="14856" width="13" style="187" customWidth="1"/>
    <col min="14857" max="14858" width="14" style="187" customWidth="1"/>
    <col min="14859" max="14859" width="13.33203125" style="187" customWidth="1"/>
    <col min="14860" max="14860" width="14.6640625" style="187" customWidth="1"/>
    <col min="14861" max="15105" width="9.33203125" style="187"/>
    <col min="15106" max="15106" width="6.6640625" style="187" customWidth="1"/>
    <col min="15107" max="15107" width="24.6640625" style="187" customWidth="1"/>
    <col min="15108" max="15108" width="13" style="187" customWidth="1"/>
    <col min="15109" max="15110" width="15.5" style="187" customWidth="1"/>
    <col min="15111" max="15111" width="11.5" style="187" customWidth="1"/>
    <col min="15112" max="15112" width="13" style="187" customWidth="1"/>
    <col min="15113" max="15114" width="14" style="187" customWidth="1"/>
    <col min="15115" max="15115" width="13.33203125" style="187" customWidth="1"/>
    <col min="15116" max="15116" width="14.6640625" style="187" customWidth="1"/>
    <col min="15117" max="15361" width="9.33203125" style="187"/>
    <col min="15362" max="15362" width="6.6640625" style="187" customWidth="1"/>
    <col min="15363" max="15363" width="24.6640625" style="187" customWidth="1"/>
    <col min="15364" max="15364" width="13" style="187" customWidth="1"/>
    <col min="15365" max="15366" width="15.5" style="187" customWidth="1"/>
    <col min="15367" max="15367" width="11.5" style="187" customWidth="1"/>
    <col min="15368" max="15368" width="13" style="187" customWidth="1"/>
    <col min="15369" max="15370" width="14" style="187" customWidth="1"/>
    <col min="15371" max="15371" width="13.33203125" style="187" customWidth="1"/>
    <col min="15372" max="15372" width="14.6640625" style="187" customWidth="1"/>
    <col min="15373" max="15617" width="9.33203125" style="187"/>
    <col min="15618" max="15618" width="6.6640625" style="187" customWidth="1"/>
    <col min="15619" max="15619" width="24.6640625" style="187" customWidth="1"/>
    <col min="15620" max="15620" width="13" style="187" customWidth="1"/>
    <col min="15621" max="15622" width="15.5" style="187" customWidth="1"/>
    <col min="15623" max="15623" width="11.5" style="187" customWidth="1"/>
    <col min="15624" max="15624" width="13" style="187" customWidth="1"/>
    <col min="15625" max="15626" width="14" style="187" customWidth="1"/>
    <col min="15627" max="15627" width="13.33203125" style="187" customWidth="1"/>
    <col min="15628" max="15628" width="14.6640625" style="187" customWidth="1"/>
    <col min="15629" max="15873" width="9.33203125" style="187"/>
    <col min="15874" max="15874" width="6.6640625" style="187" customWidth="1"/>
    <col min="15875" max="15875" width="24.6640625" style="187" customWidth="1"/>
    <col min="15876" max="15876" width="13" style="187" customWidth="1"/>
    <col min="15877" max="15878" width="15.5" style="187" customWidth="1"/>
    <col min="15879" max="15879" width="11.5" style="187" customWidth="1"/>
    <col min="15880" max="15880" width="13" style="187" customWidth="1"/>
    <col min="15881" max="15882" width="14" style="187" customWidth="1"/>
    <col min="15883" max="15883" width="13.33203125" style="187" customWidth="1"/>
    <col min="15884" max="15884" width="14.6640625" style="187" customWidth="1"/>
    <col min="15885" max="16129" width="9.33203125" style="187"/>
    <col min="16130" max="16130" width="6.6640625" style="187" customWidth="1"/>
    <col min="16131" max="16131" width="24.6640625" style="187" customWidth="1"/>
    <col min="16132" max="16132" width="13" style="187" customWidth="1"/>
    <col min="16133" max="16134" width="15.5" style="187" customWidth="1"/>
    <col min="16135" max="16135" width="11.5" style="187" customWidth="1"/>
    <col min="16136" max="16136" width="13" style="187" customWidth="1"/>
    <col min="16137" max="16138" width="14" style="187" customWidth="1"/>
    <col min="16139" max="16139" width="13.33203125" style="187" customWidth="1"/>
    <col min="16140" max="16140" width="14.6640625" style="187" customWidth="1"/>
    <col min="16141" max="16384" width="9.33203125" style="187"/>
  </cols>
  <sheetData>
    <row r="1" spans="1:12" ht="33" customHeight="1" x14ac:dyDescent="0.2">
      <c r="A1" s="1162" t="s">
        <v>739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</row>
    <row r="2" spans="1:12" ht="15" x14ac:dyDescent="0.2">
      <c r="A2" s="188"/>
      <c r="B2" s="189"/>
      <c r="C2" s="189"/>
      <c r="D2" s="190"/>
      <c r="E2" s="191"/>
      <c r="F2" s="191"/>
      <c r="G2" s="192"/>
      <c r="H2" s="192"/>
      <c r="I2" s="191"/>
    </row>
    <row r="3" spans="1:12" ht="15" x14ac:dyDescent="0.2">
      <c r="A3" s="188"/>
      <c r="B3" s="193"/>
      <c r="C3" s="193"/>
      <c r="D3" s="194"/>
      <c r="E3" s="190"/>
      <c r="F3" s="190"/>
      <c r="G3" s="190"/>
      <c r="H3" s="190"/>
      <c r="I3" s="190"/>
      <c r="L3" s="226"/>
    </row>
    <row r="4" spans="1:12" s="202" customFormat="1" ht="85.5" customHeight="1" x14ac:dyDescent="0.2">
      <c r="A4" s="196" t="s">
        <v>365</v>
      </c>
      <c r="B4" s="197" t="s">
        <v>401</v>
      </c>
      <c r="C4" s="197" t="s">
        <v>402</v>
      </c>
      <c r="D4" s="197" t="s">
        <v>609</v>
      </c>
      <c r="E4" s="197" t="s">
        <v>403</v>
      </c>
      <c r="F4" s="197" t="s">
        <v>404</v>
      </c>
      <c r="G4" s="198" t="s">
        <v>405</v>
      </c>
      <c r="H4" s="198" t="s">
        <v>375</v>
      </c>
      <c r="I4" s="199" t="s">
        <v>406</v>
      </c>
      <c r="J4" s="200" t="s">
        <v>184</v>
      </c>
      <c r="K4" s="624" t="s">
        <v>610</v>
      </c>
      <c r="L4" s="201" t="s">
        <v>407</v>
      </c>
    </row>
    <row r="5" spans="1:12" ht="57" customHeight="1" x14ac:dyDescent="0.2">
      <c r="A5" s="203" t="s">
        <v>9</v>
      </c>
      <c r="B5" s="916" t="s">
        <v>408</v>
      </c>
      <c r="C5" s="922" t="s">
        <v>409</v>
      </c>
      <c r="D5" s="626"/>
      <c r="E5" s="627"/>
      <c r="F5" s="627" t="e">
        <f>#REF!</f>
        <v>#REF!</v>
      </c>
      <c r="G5" s="628"/>
      <c r="H5" s="628"/>
      <c r="I5" s="627"/>
      <c r="J5" s="629"/>
      <c r="K5" s="630"/>
      <c r="L5" s="653" t="e">
        <f>SUM(D5:K5)</f>
        <v>#REF!</v>
      </c>
    </row>
    <row r="6" spans="1:12" ht="45.75" customHeight="1" x14ac:dyDescent="0.2">
      <c r="A6" s="204" t="s">
        <v>12</v>
      </c>
      <c r="B6" s="920" t="s">
        <v>410</v>
      </c>
      <c r="C6" s="926" t="s">
        <v>411</v>
      </c>
      <c r="D6" s="631"/>
      <c r="E6" s="632"/>
      <c r="F6" s="632"/>
      <c r="G6" s="633"/>
      <c r="H6" s="633"/>
      <c r="I6" s="632"/>
      <c r="J6" s="240"/>
      <c r="K6" s="634" t="e">
        <f>#REF!</f>
        <v>#REF!</v>
      </c>
      <c r="L6" s="653" t="e">
        <f>SUM(D6:K6)</f>
        <v>#REF!</v>
      </c>
    </row>
    <row r="7" spans="1:12" s="209" customFormat="1" ht="33" customHeight="1" x14ac:dyDescent="0.25">
      <c r="A7" s="205" t="s">
        <v>15</v>
      </c>
      <c r="B7" s="206" t="s">
        <v>366</v>
      </c>
      <c r="C7" s="207"/>
      <c r="D7" s="208">
        <f>SUM(D5:D6)</f>
        <v>0</v>
      </c>
      <c r="E7" s="208">
        <f t="shared" ref="E7:L7" si="0">SUM(E5:E6)</f>
        <v>0</v>
      </c>
      <c r="F7" s="208" t="e">
        <f t="shared" si="0"/>
        <v>#REF!</v>
      </c>
      <c r="G7" s="208">
        <f t="shared" si="0"/>
        <v>0</v>
      </c>
      <c r="H7" s="208">
        <f t="shared" si="0"/>
        <v>0</v>
      </c>
      <c r="I7" s="208">
        <f t="shared" si="0"/>
        <v>0</v>
      </c>
      <c r="J7" s="208">
        <f t="shared" si="0"/>
        <v>0</v>
      </c>
      <c r="K7" s="208"/>
      <c r="L7" s="625" t="e">
        <f t="shared" si="0"/>
        <v>#REF!</v>
      </c>
    </row>
    <row r="8" spans="1:12" ht="21" customHeight="1" x14ac:dyDescent="0.2">
      <c r="A8" s="210"/>
      <c r="B8" s="211"/>
      <c r="C8" s="211"/>
      <c r="D8" s="212"/>
      <c r="E8" s="213"/>
      <c r="F8" s="212"/>
      <c r="G8" s="212"/>
      <c r="H8" s="212"/>
      <c r="I8" s="214"/>
    </row>
    <row r="9" spans="1:12" ht="42" customHeight="1" x14ac:dyDescent="0.2">
      <c r="A9" s="210"/>
      <c r="B9" s="215"/>
      <c r="C9" s="216"/>
      <c r="D9" s="217"/>
      <c r="E9" s="213"/>
      <c r="F9" s="213"/>
      <c r="G9" s="212"/>
      <c r="H9" s="212"/>
      <c r="I9" s="212"/>
    </row>
    <row r="10" spans="1:12" ht="42" customHeight="1" x14ac:dyDescent="0.2">
      <c r="A10" s="218"/>
      <c r="B10" s="219"/>
      <c r="C10" s="220"/>
      <c r="D10" s="221"/>
      <c r="E10" s="191"/>
      <c r="F10" s="191"/>
      <c r="G10" s="192"/>
      <c r="H10" s="192"/>
      <c r="I10" s="192"/>
    </row>
    <row r="11" spans="1:12" ht="15" x14ac:dyDescent="0.2">
      <c r="A11" s="188"/>
      <c r="B11" s="189"/>
      <c r="C11" s="189"/>
      <c r="D11" s="190"/>
      <c r="E11" s="190"/>
      <c r="F11" s="190"/>
      <c r="G11" s="190"/>
      <c r="H11" s="190"/>
      <c r="I11" s="190"/>
    </row>
    <row r="12" spans="1:12" s="223" customFormat="1" ht="15" x14ac:dyDescent="0.2">
      <c r="A12" s="188"/>
      <c r="B12" s="189"/>
      <c r="C12" s="189"/>
      <c r="D12" s="190"/>
      <c r="E12" s="191"/>
      <c r="F12" s="222"/>
      <c r="G12" s="222"/>
      <c r="H12" s="222"/>
      <c r="I12" s="222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"/>
  <sheetViews>
    <sheetView workbookViewId="0">
      <selection sqref="A1:M1"/>
    </sheetView>
  </sheetViews>
  <sheetFormatPr defaultRowHeight="12.75" x14ac:dyDescent="0.2"/>
  <cols>
    <col min="1" max="1" width="5.83203125" style="224" customWidth="1"/>
    <col min="2" max="2" width="22.33203125" style="187" customWidth="1"/>
    <col min="3" max="3" width="13" style="187" customWidth="1"/>
    <col min="4" max="4" width="13.1640625" style="225" customWidth="1"/>
    <col min="5" max="5" width="15.5" style="225" customWidth="1"/>
    <col min="6" max="6" width="11.1640625" style="225" customWidth="1"/>
    <col min="7" max="7" width="13.33203125" style="225" customWidth="1"/>
    <col min="8" max="9" width="14" style="225" customWidth="1"/>
    <col min="10" max="10" width="13.33203125" style="187" customWidth="1"/>
    <col min="11" max="11" width="12.33203125" style="187" customWidth="1"/>
    <col min="12" max="12" width="14.33203125" style="187" customWidth="1"/>
    <col min="13" max="13" width="15.1640625" style="187" customWidth="1"/>
    <col min="14" max="256" width="9.33203125" style="187"/>
    <col min="257" max="257" width="5.83203125" style="187" customWidth="1"/>
    <col min="258" max="258" width="22.33203125" style="187" customWidth="1"/>
    <col min="259" max="259" width="13" style="187" customWidth="1"/>
    <col min="260" max="260" width="11" style="187" customWidth="1"/>
    <col min="261" max="261" width="15.5" style="187" customWidth="1"/>
    <col min="262" max="262" width="11.1640625" style="187" customWidth="1"/>
    <col min="263" max="263" width="13.33203125" style="187" customWidth="1"/>
    <col min="264" max="265" width="14" style="187" customWidth="1"/>
    <col min="266" max="266" width="13.33203125" style="187" customWidth="1"/>
    <col min="267" max="267" width="12.33203125" style="187" customWidth="1"/>
    <col min="268" max="268" width="14.33203125" style="187" customWidth="1"/>
    <col min="269" max="269" width="15.1640625" style="187" customWidth="1"/>
    <col min="270" max="512" width="9.33203125" style="187"/>
    <col min="513" max="513" width="5.83203125" style="187" customWidth="1"/>
    <col min="514" max="514" width="22.33203125" style="187" customWidth="1"/>
    <col min="515" max="515" width="13" style="187" customWidth="1"/>
    <col min="516" max="516" width="11" style="187" customWidth="1"/>
    <col min="517" max="517" width="15.5" style="187" customWidth="1"/>
    <col min="518" max="518" width="11.1640625" style="187" customWidth="1"/>
    <col min="519" max="519" width="13.33203125" style="187" customWidth="1"/>
    <col min="520" max="521" width="14" style="187" customWidth="1"/>
    <col min="522" max="522" width="13.33203125" style="187" customWidth="1"/>
    <col min="523" max="523" width="12.33203125" style="187" customWidth="1"/>
    <col min="524" max="524" width="14.33203125" style="187" customWidth="1"/>
    <col min="525" max="525" width="15.1640625" style="187" customWidth="1"/>
    <col min="526" max="768" width="9.33203125" style="187"/>
    <col min="769" max="769" width="5.83203125" style="187" customWidth="1"/>
    <col min="770" max="770" width="22.33203125" style="187" customWidth="1"/>
    <col min="771" max="771" width="13" style="187" customWidth="1"/>
    <col min="772" max="772" width="11" style="187" customWidth="1"/>
    <col min="773" max="773" width="15.5" style="187" customWidth="1"/>
    <col min="774" max="774" width="11.1640625" style="187" customWidth="1"/>
    <col min="775" max="775" width="13.33203125" style="187" customWidth="1"/>
    <col min="776" max="777" width="14" style="187" customWidth="1"/>
    <col min="778" max="778" width="13.33203125" style="187" customWidth="1"/>
    <col min="779" max="779" width="12.33203125" style="187" customWidth="1"/>
    <col min="780" max="780" width="14.33203125" style="187" customWidth="1"/>
    <col min="781" max="781" width="15.1640625" style="187" customWidth="1"/>
    <col min="782" max="1024" width="9.33203125" style="187"/>
    <col min="1025" max="1025" width="5.83203125" style="187" customWidth="1"/>
    <col min="1026" max="1026" width="22.33203125" style="187" customWidth="1"/>
    <col min="1027" max="1027" width="13" style="187" customWidth="1"/>
    <col min="1028" max="1028" width="11" style="187" customWidth="1"/>
    <col min="1029" max="1029" width="15.5" style="187" customWidth="1"/>
    <col min="1030" max="1030" width="11.1640625" style="187" customWidth="1"/>
    <col min="1031" max="1031" width="13.33203125" style="187" customWidth="1"/>
    <col min="1032" max="1033" width="14" style="187" customWidth="1"/>
    <col min="1034" max="1034" width="13.33203125" style="187" customWidth="1"/>
    <col min="1035" max="1035" width="12.33203125" style="187" customWidth="1"/>
    <col min="1036" max="1036" width="14.33203125" style="187" customWidth="1"/>
    <col min="1037" max="1037" width="15.1640625" style="187" customWidth="1"/>
    <col min="1038" max="1280" width="9.33203125" style="187"/>
    <col min="1281" max="1281" width="5.83203125" style="187" customWidth="1"/>
    <col min="1282" max="1282" width="22.33203125" style="187" customWidth="1"/>
    <col min="1283" max="1283" width="13" style="187" customWidth="1"/>
    <col min="1284" max="1284" width="11" style="187" customWidth="1"/>
    <col min="1285" max="1285" width="15.5" style="187" customWidth="1"/>
    <col min="1286" max="1286" width="11.1640625" style="187" customWidth="1"/>
    <col min="1287" max="1287" width="13.33203125" style="187" customWidth="1"/>
    <col min="1288" max="1289" width="14" style="187" customWidth="1"/>
    <col min="1290" max="1290" width="13.33203125" style="187" customWidth="1"/>
    <col min="1291" max="1291" width="12.33203125" style="187" customWidth="1"/>
    <col min="1292" max="1292" width="14.33203125" style="187" customWidth="1"/>
    <col min="1293" max="1293" width="15.1640625" style="187" customWidth="1"/>
    <col min="1294" max="1536" width="9.33203125" style="187"/>
    <col min="1537" max="1537" width="5.83203125" style="187" customWidth="1"/>
    <col min="1538" max="1538" width="22.33203125" style="187" customWidth="1"/>
    <col min="1539" max="1539" width="13" style="187" customWidth="1"/>
    <col min="1540" max="1540" width="11" style="187" customWidth="1"/>
    <col min="1541" max="1541" width="15.5" style="187" customWidth="1"/>
    <col min="1542" max="1542" width="11.1640625" style="187" customWidth="1"/>
    <col min="1543" max="1543" width="13.33203125" style="187" customWidth="1"/>
    <col min="1544" max="1545" width="14" style="187" customWidth="1"/>
    <col min="1546" max="1546" width="13.33203125" style="187" customWidth="1"/>
    <col min="1547" max="1547" width="12.33203125" style="187" customWidth="1"/>
    <col min="1548" max="1548" width="14.33203125" style="187" customWidth="1"/>
    <col min="1549" max="1549" width="15.1640625" style="187" customWidth="1"/>
    <col min="1550" max="1792" width="9.33203125" style="187"/>
    <col min="1793" max="1793" width="5.83203125" style="187" customWidth="1"/>
    <col min="1794" max="1794" width="22.33203125" style="187" customWidth="1"/>
    <col min="1795" max="1795" width="13" style="187" customWidth="1"/>
    <col min="1796" max="1796" width="11" style="187" customWidth="1"/>
    <col min="1797" max="1797" width="15.5" style="187" customWidth="1"/>
    <col min="1798" max="1798" width="11.1640625" style="187" customWidth="1"/>
    <col min="1799" max="1799" width="13.33203125" style="187" customWidth="1"/>
    <col min="1800" max="1801" width="14" style="187" customWidth="1"/>
    <col min="1802" max="1802" width="13.33203125" style="187" customWidth="1"/>
    <col min="1803" max="1803" width="12.33203125" style="187" customWidth="1"/>
    <col min="1804" max="1804" width="14.33203125" style="187" customWidth="1"/>
    <col min="1805" max="1805" width="15.1640625" style="187" customWidth="1"/>
    <col min="1806" max="2048" width="9.33203125" style="187"/>
    <col min="2049" max="2049" width="5.83203125" style="187" customWidth="1"/>
    <col min="2050" max="2050" width="22.33203125" style="187" customWidth="1"/>
    <col min="2051" max="2051" width="13" style="187" customWidth="1"/>
    <col min="2052" max="2052" width="11" style="187" customWidth="1"/>
    <col min="2053" max="2053" width="15.5" style="187" customWidth="1"/>
    <col min="2054" max="2054" width="11.1640625" style="187" customWidth="1"/>
    <col min="2055" max="2055" width="13.33203125" style="187" customWidth="1"/>
    <col min="2056" max="2057" width="14" style="187" customWidth="1"/>
    <col min="2058" max="2058" width="13.33203125" style="187" customWidth="1"/>
    <col min="2059" max="2059" width="12.33203125" style="187" customWidth="1"/>
    <col min="2060" max="2060" width="14.33203125" style="187" customWidth="1"/>
    <col min="2061" max="2061" width="15.1640625" style="187" customWidth="1"/>
    <col min="2062" max="2304" width="9.33203125" style="187"/>
    <col min="2305" max="2305" width="5.83203125" style="187" customWidth="1"/>
    <col min="2306" max="2306" width="22.33203125" style="187" customWidth="1"/>
    <col min="2307" max="2307" width="13" style="187" customWidth="1"/>
    <col min="2308" max="2308" width="11" style="187" customWidth="1"/>
    <col min="2309" max="2309" width="15.5" style="187" customWidth="1"/>
    <col min="2310" max="2310" width="11.1640625" style="187" customWidth="1"/>
    <col min="2311" max="2311" width="13.33203125" style="187" customWidth="1"/>
    <col min="2312" max="2313" width="14" style="187" customWidth="1"/>
    <col min="2314" max="2314" width="13.33203125" style="187" customWidth="1"/>
    <col min="2315" max="2315" width="12.33203125" style="187" customWidth="1"/>
    <col min="2316" max="2316" width="14.33203125" style="187" customWidth="1"/>
    <col min="2317" max="2317" width="15.1640625" style="187" customWidth="1"/>
    <col min="2318" max="2560" width="9.33203125" style="187"/>
    <col min="2561" max="2561" width="5.83203125" style="187" customWidth="1"/>
    <col min="2562" max="2562" width="22.33203125" style="187" customWidth="1"/>
    <col min="2563" max="2563" width="13" style="187" customWidth="1"/>
    <col min="2564" max="2564" width="11" style="187" customWidth="1"/>
    <col min="2565" max="2565" width="15.5" style="187" customWidth="1"/>
    <col min="2566" max="2566" width="11.1640625" style="187" customWidth="1"/>
    <col min="2567" max="2567" width="13.33203125" style="187" customWidth="1"/>
    <col min="2568" max="2569" width="14" style="187" customWidth="1"/>
    <col min="2570" max="2570" width="13.33203125" style="187" customWidth="1"/>
    <col min="2571" max="2571" width="12.33203125" style="187" customWidth="1"/>
    <col min="2572" max="2572" width="14.33203125" style="187" customWidth="1"/>
    <col min="2573" max="2573" width="15.1640625" style="187" customWidth="1"/>
    <col min="2574" max="2816" width="9.33203125" style="187"/>
    <col min="2817" max="2817" width="5.83203125" style="187" customWidth="1"/>
    <col min="2818" max="2818" width="22.33203125" style="187" customWidth="1"/>
    <col min="2819" max="2819" width="13" style="187" customWidth="1"/>
    <col min="2820" max="2820" width="11" style="187" customWidth="1"/>
    <col min="2821" max="2821" width="15.5" style="187" customWidth="1"/>
    <col min="2822" max="2822" width="11.1640625" style="187" customWidth="1"/>
    <col min="2823" max="2823" width="13.33203125" style="187" customWidth="1"/>
    <col min="2824" max="2825" width="14" style="187" customWidth="1"/>
    <col min="2826" max="2826" width="13.33203125" style="187" customWidth="1"/>
    <col min="2827" max="2827" width="12.33203125" style="187" customWidth="1"/>
    <col min="2828" max="2828" width="14.33203125" style="187" customWidth="1"/>
    <col min="2829" max="2829" width="15.1640625" style="187" customWidth="1"/>
    <col min="2830" max="3072" width="9.33203125" style="187"/>
    <col min="3073" max="3073" width="5.83203125" style="187" customWidth="1"/>
    <col min="3074" max="3074" width="22.33203125" style="187" customWidth="1"/>
    <col min="3075" max="3075" width="13" style="187" customWidth="1"/>
    <col min="3076" max="3076" width="11" style="187" customWidth="1"/>
    <col min="3077" max="3077" width="15.5" style="187" customWidth="1"/>
    <col min="3078" max="3078" width="11.1640625" style="187" customWidth="1"/>
    <col min="3079" max="3079" width="13.33203125" style="187" customWidth="1"/>
    <col min="3080" max="3081" width="14" style="187" customWidth="1"/>
    <col min="3082" max="3082" width="13.33203125" style="187" customWidth="1"/>
    <col min="3083" max="3083" width="12.33203125" style="187" customWidth="1"/>
    <col min="3084" max="3084" width="14.33203125" style="187" customWidth="1"/>
    <col min="3085" max="3085" width="15.1640625" style="187" customWidth="1"/>
    <col min="3086" max="3328" width="9.33203125" style="187"/>
    <col min="3329" max="3329" width="5.83203125" style="187" customWidth="1"/>
    <col min="3330" max="3330" width="22.33203125" style="187" customWidth="1"/>
    <col min="3331" max="3331" width="13" style="187" customWidth="1"/>
    <col min="3332" max="3332" width="11" style="187" customWidth="1"/>
    <col min="3333" max="3333" width="15.5" style="187" customWidth="1"/>
    <col min="3334" max="3334" width="11.1640625" style="187" customWidth="1"/>
    <col min="3335" max="3335" width="13.33203125" style="187" customWidth="1"/>
    <col min="3336" max="3337" width="14" style="187" customWidth="1"/>
    <col min="3338" max="3338" width="13.33203125" style="187" customWidth="1"/>
    <col min="3339" max="3339" width="12.33203125" style="187" customWidth="1"/>
    <col min="3340" max="3340" width="14.33203125" style="187" customWidth="1"/>
    <col min="3341" max="3341" width="15.1640625" style="187" customWidth="1"/>
    <col min="3342" max="3584" width="9.33203125" style="187"/>
    <col min="3585" max="3585" width="5.83203125" style="187" customWidth="1"/>
    <col min="3586" max="3586" width="22.33203125" style="187" customWidth="1"/>
    <col min="3587" max="3587" width="13" style="187" customWidth="1"/>
    <col min="3588" max="3588" width="11" style="187" customWidth="1"/>
    <col min="3589" max="3589" width="15.5" style="187" customWidth="1"/>
    <col min="3590" max="3590" width="11.1640625" style="187" customWidth="1"/>
    <col min="3591" max="3591" width="13.33203125" style="187" customWidth="1"/>
    <col min="3592" max="3593" width="14" style="187" customWidth="1"/>
    <col min="3594" max="3594" width="13.33203125" style="187" customWidth="1"/>
    <col min="3595" max="3595" width="12.33203125" style="187" customWidth="1"/>
    <col min="3596" max="3596" width="14.33203125" style="187" customWidth="1"/>
    <col min="3597" max="3597" width="15.1640625" style="187" customWidth="1"/>
    <col min="3598" max="3840" width="9.33203125" style="187"/>
    <col min="3841" max="3841" width="5.83203125" style="187" customWidth="1"/>
    <col min="3842" max="3842" width="22.33203125" style="187" customWidth="1"/>
    <col min="3843" max="3843" width="13" style="187" customWidth="1"/>
    <col min="3844" max="3844" width="11" style="187" customWidth="1"/>
    <col min="3845" max="3845" width="15.5" style="187" customWidth="1"/>
    <col min="3846" max="3846" width="11.1640625" style="187" customWidth="1"/>
    <col min="3847" max="3847" width="13.33203125" style="187" customWidth="1"/>
    <col min="3848" max="3849" width="14" style="187" customWidth="1"/>
    <col min="3850" max="3850" width="13.33203125" style="187" customWidth="1"/>
    <col min="3851" max="3851" width="12.33203125" style="187" customWidth="1"/>
    <col min="3852" max="3852" width="14.33203125" style="187" customWidth="1"/>
    <col min="3853" max="3853" width="15.1640625" style="187" customWidth="1"/>
    <col min="3854" max="4096" width="9.33203125" style="187"/>
    <col min="4097" max="4097" width="5.83203125" style="187" customWidth="1"/>
    <col min="4098" max="4098" width="22.33203125" style="187" customWidth="1"/>
    <col min="4099" max="4099" width="13" style="187" customWidth="1"/>
    <col min="4100" max="4100" width="11" style="187" customWidth="1"/>
    <col min="4101" max="4101" width="15.5" style="187" customWidth="1"/>
    <col min="4102" max="4102" width="11.1640625" style="187" customWidth="1"/>
    <col min="4103" max="4103" width="13.33203125" style="187" customWidth="1"/>
    <col min="4104" max="4105" width="14" style="187" customWidth="1"/>
    <col min="4106" max="4106" width="13.33203125" style="187" customWidth="1"/>
    <col min="4107" max="4107" width="12.33203125" style="187" customWidth="1"/>
    <col min="4108" max="4108" width="14.33203125" style="187" customWidth="1"/>
    <col min="4109" max="4109" width="15.1640625" style="187" customWidth="1"/>
    <col min="4110" max="4352" width="9.33203125" style="187"/>
    <col min="4353" max="4353" width="5.83203125" style="187" customWidth="1"/>
    <col min="4354" max="4354" width="22.33203125" style="187" customWidth="1"/>
    <col min="4355" max="4355" width="13" style="187" customWidth="1"/>
    <col min="4356" max="4356" width="11" style="187" customWidth="1"/>
    <col min="4357" max="4357" width="15.5" style="187" customWidth="1"/>
    <col min="4358" max="4358" width="11.1640625" style="187" customWidth="1"/>
    <col min="4359" max="4359" width="13.33203125" style="187" customWidth="1"/>
    <col min="4360" max="4361" width="14" style="187" customWidth="1"/>
    <col min="4362" max="4362" width="13.33203125" style="187" customWidth="1"/>
    <col min="4363" max="4363" width="12.33203125" style="187" customWidth="1"/>
    <col min="4364" max="4364" width="14.33203125" style="187" customWidth="1"/>
    <col min="4365" max="4365" width="15.1640625" style="187" customWidth="1"/>
    <col min="4366" max="4608" width="9.33203125" style="187"/>
    <col min="4609" max="4609" width="5.83203125" style="187" customWidth="1"/>
    <col min="4610" max="4610" width="22.33203125" style="187" customWidth="1"/>
    <col min="4611" max="4611" width="13" style="187" customWidth="1"/>
    <col min="4612" max="4612" width="11" style="187" customWidth="1"/>
    <col min="4613" max="4613" width="15.5" style="187" customWidth="1"/>
    <col min="4614" max="4614" width="11.1640625" style="187" customWidth="1"/>
    <col min="4615" max="4615" width="13.33203125" style="187" customWidth="1"/>
    <col min="4616" max="4617" width="14" style="187" customWidth="1"/>
    <col min="4618" max="4618" width="13.33203125" style="187" customWidth="1"/>
    <col min="4619" max="4619" width="12.33203125" style="187" customWidth="1"/>
    <col min="4620" max="4620" width="14.33203125" style="187" customWidth="1"/>
    <col min="4621" max="4621" width="15.1640625" style="187" customWidth="1"/>
    <col min="4622" max="4864" width="9.33203125" style="187"/>
    <col min="4865" max="4865" width="5.83203125" style="187" customWidth="1"/>
    <col min="4866" max="4866" width="22.33203125" style="187" customWidth="1"/>
    <col min="4867" max="4867" width="13" style="187" customWidth="1"/>
    <col min="4868" max="4868" width="11" style="187" customWidth="1"/>
    <col min="4869" max="4869" width="15.5" style="187" customWidth="1"/>
    <col min="4870" max="4870" width="11.1640625" style="187" customWidth="1"/>
    <col min="4871" max="4871" width="13.33203125" style="187" customWidth="1"/>
    <col min="4872" max="4873" width="14" style="187" customWidth="1"/>
    <col min="4874" max="4874" width="13.33203125" style="187" customWidth="1"/>
    <col min="4875" max="4875" width="12.33203125" style="187" customWidth="1"/>
    <col min="4876" max="4876" width="14.33203125" style="187" customWidth="1"/>
    <col min="4877" max="4877" width="15.1640625" style="187" customWidth="1"/>
    <col min="4878" max="5120" width="9.33203125" style="187"/>
    <col min="5121" max="5121" width="5.83203125" style="187" customWidth="1"/>
    <col min="5122" max="5122" width="22.33203125" style="187" customWidth="1"/>
    <col min="5123" max="5123" width="13" style="187" customWidth="1"/>
    <col min="5124" max="5124" width="11" style="187" customWidth="1"/>
    <col min="5125" max="5125" width="15.5" style="187" customWidth="1"/>
    <col min="5126" max="5126" width="11.1640625" style="187" customWidth="1"/>
    <col min="5127" max="5127" width="13.33203125" style="187" customWidth="1"/>
    <col min="5128" max="5129" width="14" style="187" customWidth="1"/>
    <col min="5130" max="5130" width="13.33203125" style="187" customWidth="1"/>
    <col min="5131" max="5131" width="12.33203125" style="187" customWidth="1"/>
    <col min="5132" max="5132" width="14.33203125" style="187" customWidth="1"/>
    <col min="5133" max="5133" width="15.1640625" style="187" customWidth="1"/>
    <col min="5134" max="5376" width="9.33203125" style="187"/>
    <col min="5377" max="5377" width="5.83203125" style="187" customWidth="1"/>
    <col min="5378" max="5378" width="22.33203125" style="187" customWidth="1"/>
    <col min="5379" max="5379" width="13" style="187" customWidth="1"/>
    <col min="5380" max="5380" width="11" style="187" customWidth="1"/>
    <col min="5381" max="5381" width="15.5" style="187" customWidth="1"/>
    <col min="5382" max="5382" width="11.1640625" style="187" customWidth="1"/>
    <col min="5383" max="5383" width="13.33203125" style="187" customWidth="1"/>
    <col min="5384" max="5385" width="14" style="187" customWidth="1"/>
    <col min="5386" max="5386" width="13.33203125" style="187" customWidth="1"/>
    <col min="5387" max="5387" width="12.33203125" style="187" customWidth="1"/>
    <col min="5388" max="5388" width="14.33203125" style="187" customWidth="1"/>
    <col min="5389" max="5389" width="15.1640625" style="187" customWidth="1"/>
    <col min="5390" max="5632" width="9.33203125" style="187"/>
    <col min="5633" max="5633" width="5.83203125" style="187" customWidth="1"/>
    <col min="5634" max="5634" width="22.33203125" style="187" customWidth="1"/>
    <col min="5635" max="5635" width="13" style="187" customWidth="1"/>
    <col min="5636" max="5636" width="11" style="187" customWidth="1"/>
    <col min="5637" max="5637" width="15.5" style="187" customWidth="1"/>
    <col min="5638" max="5638" width="11.1640625" style="187" customWidth="1"/>
    <col min="5639" max="5639" width="13.33203125" style="187" customWidth="1"/>
    <col min="5640" max="5641" width="14" style="187" customWidth="1"/>
    <col min="5642" max="5642" width="13.33203125" style="187" customWidth="1"/>
    <col min="5643" max="5643" width="12.33203125" style="187" customWidth="1"/>
    <col min="5644" max="5644" width="14.33203125" style="187" customWidth="1"/>
    <col min="5645" max="5645" width="15.1640625" style="187" customWidth="1"/>
    <col min="5646" max="5888" width="9.33203125" style="187"/>
    <col min="5889" max="5889" width="5.83203125" style="187" customWidth="1"/>
    <col min="5890" max="5890" width="22.33203125" style="187" customWidth="1"/>
    <col min="5891" max="5891" width="13" style="187" customWidth="1"/>
    <col min="5892" max="5892" width="11" style="187" customWidth="1"/>
    <col min="5893" max="5893" width="15.5" style="187" customWidth="1"/>
    <col min="5894" max="5894" width="11.1640625" style="187" customWidth="1"/>
    <col min="5895" max="5895" width="13.33203125" style="187" customWidth="1"/>
    <col min="5896" max="5897" width="14" style="187" customWidth="1"/>
    <col min="5898" max="5898" width="13.33203125" style="187" customWidth="1"/>
    <col min="5899" max="5899" width="12.33203125" style="187" customWidth="1"/>
    <col min="5900" max="5900" width="14.33203125" style="187" customWidth="1"/>
    <col min="5901" max="5901" width="15.1640625" style="187" customWidth="1"/>
    <col min="5902" max="6144" width="9.33203125" style="187"/>
    <col min="6145" max="6145" width="5.83203125" style="187" customWidth="1"/>
    <col min="6146" max="6146" width="22.33203125" style="187" customWidth="1"/>
    <col min="6147" max="6147" width="13" style="187" customWidth="1"/>
    <col min="6148" max="6148" width="11" style="187" customWidth="1"/>
    <col min="6149" max="6149" width="15.5" style="187" customWidth="1"/>
    <col min="6150" max="6150" width="11.1640625" style="187" customWidth="1"/>
    <col min="6151" max="6151" width="13.33203125" style="187" customWidth="1"/>
    <col min="6152" max="6153" width="14" style="187" customWidth="1"/>
    <col min="6154" max="6154" width="13.33203125" style="187" customWidth="1"/>
    <col min="6155" max="6155" width="12.33203125" style="187" customWidth="1"/>
    <col min="6156" max="6156" width="14.33203125" style="187" customWidth="1"/>
    <col min="6157" max="6157" width="15.1640625" style="187" customWidth="1"/>
    <col min="6158" max="6400" width="9.33203125" style="187"/>
    <col min="6401" max="6401" width="5.83203125" style="187" customWidth="1"/>
    <col min="6402" max="6402" width="22.33203125" style="187" customWidth="1"/>
    <col min="6403" max="6403" width="13" style="187" customWidth="1"/>
    <col min="6404" max="6404" width="11" style="187" customWidth="1"/>
    <col min="6405" max="6405" width="15.5" style="187" customWidth="1"/>
    <col min="6406" max="6406" width="11.1640625" style="187" customWidth="1"/>
    <col min="6407" max="6407" width="13.33203125" style="187" customWidth="1"/>
    <col min="6408" max="6409" width="14" style="187" customWidth="1"/>
    <col min="6410" max="6410" width="13.33203125" style="187" customWidth="1"/>
    <col min="6411" max="6411" width="12.33203125" style="187" customWidth="1"/>
    <col min="6412" max="6412" width="14.33203125" style="187" customWidth="1"/>
    <col min="6413" max="6413" width="15.1640625" style="187" customWidth="1"/>
    <col min="6414" max="6656" width="9.33203125" style="187"/>
    <col min="6657" max="6657" width="5.83203125" style="187" customWidth="1"/>
    <col min="6658" max="6658" width="22.33203125" style="187" customWidth="1"/>
    <col min="6659" max="6659" width="13" style="187" customWidth="1"/>
    <col min="6660" max="6660" width="11" style="187" customWidth="1"/>
    <col min="6661" max="6661" width="15.5" style="187" customWidth="1"/>
    <col min="6662" max="6662" width="11.1640625" style="187" customWidth="1"/>
    <col min="6663" max="6663" width="13.33203125" style="187" customWidth="1"/>
    <col min="6664" max="6665" width="14" style="187" customWidth="1"/>
    <col min="6666" max="6666" width="13.33203125" style="187" customWidth="1"/>
    <col min="6667" max="6667" width="12.33203125" style="187" customWidth="1"/>
    <col min="6668" max="6668" width="14.33203125" style="187" customWidth="1"/>
    <col min="6669" max="6669" width="15.1640625" style="187" customWidth="1"/>
    <col min="6670" max="6912" width="9.33203125" style="187"/>
    <col min="6913" max="6913" width="5.83203125" style="187" customWidth="1"/>
    <col min="6914" max="6914" width="22.33203125" style="187" customWidth="1"/>
    <col min="6915" max="6915" width="13" style="187" customWidth="1"/>
    <col min="6916" max="6916" width="11" style="187" customWidth="1"/>
    <col min="6917" max="6917" width="15.5" style="187" customWidth="1"/>
    <col min="6918" max="6918" width="11.1640625" style="187" customWidth="1"/>
    <col min="6919" max="6919" width="13.33203125" style="187" customWidth="1"/>
    <col min="6920" max="6921" width="14" style="187" customWidth="1"/>
    <col min="6922" max="6922" width="13.33203125" style="187" customWidth="1"/>
    <col min="6923" max="6923" width="12.33203125" style="187" customWidth="1"/>
    <col min="6924" max="6924" width="14.33203125" style="187" customWidth="1"/>
    <col min="6925" max="6925" width="15.1640625" style="187" customWidth="1"/>
    <col min="6926" max="7168" width="9.33203125" style="187"/>
    <col min="7169" max="7169" width="5.83203125" style="187" customWidth="1"/>
    <col min="7170" max="7170" width="22.33203125" style="187" customWidth="1"/>
    <col min="7171" max="7171" width="13" style="187" customWidth="1"/>
    <col min="7172" max="7172" width="11" style="187" customWidth="1"/>
    <col min="7173" max="7173" width="15.5" style="187" customWidth="1"/>
    <col min="7174" max="7174" width="11.1640625" style="187" customWidth="1"/>
    <col min="7175" max="7175" width="13.33203125" style="187" customWidth="1"/>
    <col min="7176" max="7177" width="14" style="187" customWidth="1"/>
    <col min="7178" max="7178" width="13.33203125" style="187" customWidth="1"/>
    <col min="7179" max="7179" width="12.33203125" style="187" customWidth="1"/>
    <col min="7180" max="7180" width="14.33203125" style="187" customWidth="1"/>
    <col min="7181" max="7181" width="15.1640625" style="187" customWidth="1"/>
    <col min="7182" max="7424" width="9.33203125" style="187"/>
    <col min="7425" max="7425" width="5.83203125" style="187" customWidth="1"/>
    <col min="7426" max="7426" width="22.33203125" style="187" customWidth="1"/>
    <col min="7427" max="7427" width="13" style="187" customWidth="1"/>
    <col min="7428" max="7428" width="11" style="187" customWidth="1"/>
    <col min="7429" max="7429" width="15.5" style="187" customWidth="1"/>
    <col min="7430" max="7430" width="11.1640625" style="187" customWidth="1"/>
    <col min="7431" max="7431" width="13.33203125" style="187" customWidth="1"/>
    <col min="7432" max="7433" width="14" style="187" customWidth="1"/>
    <col min="7434" max="7434" width="13.33203125" style="187" customWidth="1"/>
    <col min="7435" max="7435" width="12.33203125" style="187" customWidth="1"/>
    <col min="7436" max="7436" width="14.33203125" style="187" customWidth="1"/>
    <col min="7437" max="7437" width="15.1640625" style="187" customWidth="1"/>
    <col min="7438" max="7680" width="9.33203125" style="187"/>
    <col min="7681" max="7681" width="5.83203125" style="187" customWidth="1"/>
    <col min="7682" max="7682" width="22.33203125" style="187" customWidth="1"/>
    <col min="7683" max="7683" width="13" style="187" customWidth="1"/>
    <col min="7684" max="7684" width="11" style="187" customWidth="1"/>
    <col min="7685" max="7685" width="15.5" style="187" customWidth="1"/>
    <col min="7686" max="7686" width="11.1640625" style="187" customWidth="1"/>
    <col min="7687" max="7687" width="13.33203125" style="187" customWidth="1"/>
    <col min="7688" max="7689" width="14" style="187" customWidth="1"/>
    <col min="7690" max="7690" width="13.33203125" style="187" customWidth="1"/>
    <col min="7691" max="7691" width="12.33203125" style="187" customWidth="1"/>
    <col min="7692" max="7692" width="14.33203125" style="187" customWidth="1"/>
    <col min="7693" max="7693" width="15.1640625" style="187" customWidth="1"/>
    <col min="7694" max="7936" width="9.33203125" style="187"/>
    <col min="7937" max="7937" width="5.83203125" style="187" customWidth="1"/>
    <col min="7938" max="7938" width="22.33203125" style="187" customWidth="1"/>
    <col min="7939" max="7939" width="13" style="187" customWidth="1"/>
    <col min="7940" max="7940" width="11" style="187" customWidth="1"/>
    <col min="7941" max="7941" width="15.5" style="187" customWidth="1"/>
    <col min="7942" max="7942" width="11.1640625" style="187" customWidth="1"/>
    <col min="7943" max="7943" width="13.33203125" style="187" customWidth="1"/>
    <col min="7944" max="7945" width="14" style="187" customWidth="1"/>
    <col min="7946" max="7946" width="13.33203125" style="187" customWidth="1"/>
    <col min="7947" max="7947" width="12.33203125" style="187" customWidth="1"/>
    <col min="7948" max="7948" width="14.33203125" style="187" customWidth="1"/>
    <col min="7949" max="7949" width="15.1640625" style="187" customWidth="1"/>
    <col min="7950" max="8192" width="9.33203125" style="187"/>
    <col min="8193" max="8193" width="5.83203125" style="187" customWidth="1"/>
    <col min="8194" max="8194" width="22.33203125" style="187" customWidth="1"/>
    <col min="8195" max="8195" width="13" style="187" customWidth="1"/>
    <col min="8196" max="8196" width="11" style="187" customWidth="1"/>
    <col min="8197" max="8197" width="15.5" style="187" customWidth="1"/>
    <col min="8198" max="8198" width="11.1640625" style="187" customWidth="1"/>
    <col min="8199" max="8199" width="13.33203125" style="187" customWidth="1"/>
    <col min="8200" max="8201" width="14" style="187" customWidth="1"/>
    <col min="8202" max="8202" width="13.33203125" style="187" customWidth="1"/>
    <col min="8203" max="8203" width="12.33203125" style="187" customWidth="1"/>
    <col min="8204" max="8204" width="14.33203125" style="187" customWidth="1"/>
    <col min="8205" max="8205" width="15.1640625" style="187" customWidth="1"/>
    <col min="8206" max="8448" width="9.33203125" style="187"/>
    <col min="8449" max="8449" width="5.83203125" style="187" customWidth="1"/>
    <col min="8450" max="8450" width="22.33203125" style="187" customWidth="1"/>
    <col min="8451" max="8451" width="13" style="187" customWidth="1"/>
    <col min="8452" max="8452" width="11" style="187" customWidth="1"/>
    <col min="8453" max="8453" width="15.5" style="187" customWidth="1"/>
    <col min="8454" max="8454" width="11.1640625" style="187" customWidth="1"/>
    <col min="8455" max="8455" width="13.33203125" style="187" customWidth="1"/>
    <col min="8456" max="8457" width="14" style="187" customWidth="1"/>
    <col min="8458" max="8458" width="13.33203125" style="187" customWidth="1"/>
    <col min="8459" max="8459" width="12.33203125" style="187" customWidth="1"/>
    <col min="8460" max="8460" width="14.33203125" style="187" customWidth="1"/>
    <col min="8461" max="8461" width="15.1640625" style="187" customWidth="1"/>
    <col min="8462" max="8704" width="9.33203125" style="187"/>
    <col min="8705" max="8705" width="5.83203125" style="187" customWidth="1"/>
    <col min="8706" max="8706" width="22.33203125" style="187" customWidth="1"/>
    <col min="8707" max="8707" width="13" style="187" customWidth="1"/>
    <col min="8708" max="8708" width="11" style="187" customWidth="1"/>
    <col min="8709" max="8709" width="15.5" style="187" customWidth="1"/>
    <col min="8710" max="8710" width="11.1640625" style="187" customWidth="1"/>
    <col min="8711" max="8711" width="13.33203125" style="187" customWidth="1"/>
    <col min="8712" max="8713" width="14" style="187" customWidth="1"/>
    <col min="8714" max="8714" width="13.33203125" style="187" customWidth="1"/>
    <col min="8715" max="8715" width="12.33203125" style="187" customWidth="1"/>
    <col min="8716" max="8716" width="14.33203125" style="187" customWidth="1"/>
    <col min="8717" max="8717" width="15.1640625" style="187" customWidth="1"/>
    <col min="8718" max="8960" width="9.33203125" style="187"/>
    <col min="8961" max="8961" width="5.83203125" style="187" customWidth="1"/>
    <col min="8962" max="8962" width="22.33203125" style="187" customWidth="1"/>
    <col min="8963" max="8963" width="13" style="187" customWidth="1"/>
    <col min="8964" max="8964" width="11" style="187" customWidth="1"/>
    <col min="8965" max="8965" width="15.5" style="187" customWidth="1"/>
    <col min="8966" max="8966" width="11.1640625" style="187" customWidth="1"/>
    <col min="8967" max="8967" width="13.33203125" style="187" customWidth="1"/>
    <col min="8968" max="8969" width="14" style="187" customWidth="1"/>
    <col min="8970" max="8970" width="13.33203125" style="187" customWidth="1"/>
    <col min="8971" max="8971" width="12.33203125" style="187" customWidth="1"/>
    <col min="8972" max="8972" width="14.33203125" style="187" customWidth="1"/>
    <col min="8973" max="8973" width="15.1640625" style="187" customWidth="1"/>
    <col min="8974" max="9216" width="9.33203125" style="187"/>
    <col min="9217" max="9217" width="5.83203125" style="187" customWidth="1"/>
    <col min="9218" max="9218" width="22.33203125" style="187" customWidth="1"/>
    <col min="9219" max="9219" width="13" style="187" customWidth="1"/>
    <col min="9220" max="9220" width="11" style="187" customWidth="1"/>
    <col min="9221" max="9221" width="15.5" style="187" customWidth="1"/>
    <col min="9222" max="9222" width="11.1640625" style="187" customWidth="1"/>
    <col min="9223" max="9223" width="13.33203125" style="187" customWidth="1"/>
    <col min="9224" max="9225" width="14" style="187" customWidth="1"/>
    <col min="9226" max="9226" width="13.33203125" style="187" customWidth="1"/>
    <col min="9227" max="9227" width="12.33203125" style="187" customWidth="1"/>
    <col min="9228" max="9228" width="14.33203125" style="187" customWidth="1"/>
    <col min="9229" max="9229" width="15.1640625" style="187" customWidth="1"/>
    <col min="9230" max="9472" width="9.33203125" style="187"/>
    <col min="9473" max="9473" width="5.83203125" style="187" customWidth="1"/>
    <col min="9474" max="9474" width="22.33203125" style="187" customWidth="1"/>
    <col min="9475" max="9475" width="13" style="187" customWidth="1"/>
    <col min="9476" max="9476" width="11" style="187" customWidth="1"/>
    <col min="9477" max="9477" width="15.5" style="187" customWidth="1"/>
    <col min="9478" max="9478" width="11.1640625" style="187" customWidth="1"/>
    <col min="9479" max="9479" width="13.33203125" style="187" customWidth="1"/>
    <col min="9480" max="9481" width="14" style="187" customWidth="1"/>
    <col min="9482" max="9482" width="13.33203125" style="187" customWidth="1"/>
    <col min="9483" max="9483" width="12.33203125" style="187" customWidth="1"/>
    <col min="9484" max="9484" width="14.33203125" style="187" customWidth="1"/>
    <col min="9485" max="9485" width="15.1640625" style="187" customWidth="1"/>
    <col min="9486" max="9728" width="9.33203125" style="187"/>
    <col min="9729" max="9729" width="5.83203125" style="187" customWidth="1"/>
    <col min="9730" max="9730" width="22.33203125" style="187" customWidth="1"/>
    <col min="9731" max="9731" width="13" style="187" customWidth="1"/>
    <col min="9732" max="9732" width="11" style="187" customWidth="1"/>
    <col min="9733" max="9733" width="15.5" style="187" customWidth="1"/>
    <col min="9734" max="9734" width="11.1640625" style="187" customWidth="1"/>
    <col min="9735" max="9735" width="13.33203125" style="187" customWidth="1"/>
    <col min="9736" max="9737" width="14" style="187" customWidth="1"/>
    <col min="9738" max="9738" width="13.33203125" style="187" customWidth="1"/>
    <col min="9739" max="9739" width="12.33203125" style="187" customWidth="1"/>
    <col min="9740" max="9740" width="14.33203125" style="187" customWidth="1"/>
    <col min="9741" max="9741" width="15.1640625" style="187" customWidth="1"/>
    <col min="9742" max="9984" width="9.33203125" style="187"/>
    <col min="9985" max="9985" width="5.83203125" style="187" customWidth="1"/>
    <col min="9986" max="9986" width="22.33203125" style="187" customWidth="1"/>
    <col min="9987" max="9987" width="13" style="187" customWidth="1"/>
    <col min="9988" max="9988" width="11" style="187" customWidth="1"/>
    <col min="9989" max="9989" width="15.5" style="187" customWidth="1"/>
    <col min="9990" max="9990" width="11.1640625" style="187" customWidth="1"/>
    <col min="9991" max="9991" width="13.33203125" style="187" customWidth="1"/>
    <col min="9992" max="9993" width="14" style="187" customWidth="1"/>
    <col min="9994" max="9994" width="13.33203125" style="187" customWidth="1"/>
    <col min="9995" max="9995" width="12.33203125" style="187" customWidth="1"/>
    <col min="9996" max="9996" width="14.33203125" style="187" customWidth="1"/>
    <col min="9997" max="9997" width="15.1640625" style="187" customWidth="1"/>
    <col min="9998" max="10240" width="9.33203125" style="187"/>
    <col min="10241" max="10241" width="5.83203125" style="187" customWidth="1"/>
    <col min="10242" max="10242" width="22.33203125" style="187" customWidth="1"/>
    <col min="10243" max="10243" width="13" style="187" customWidth="1"/>
    <col min="10244" max="10244" width="11" style="187" customWidth="1"/>
    <col min="10245" max="10245" width="15.5" style="187" customWidth="1"/>
    <col min="10246" max="10246" width="11.1640625" style="187" customWidth="1"/>
    <col min="10247" max="10247" width="13.33203125" style="187" customWidth="1"/>
    <col min="10248" max="10249" width="14" style="187" customWidth="1"/>
    <col min="10250" max="10250" width="13.33203125" style="187" customWidth="1"/>
    <col min="10251" max="10251" width="12.33203125" style="187" customWidth="1"/>
    <col min="10252" max="10252" width="14.33203125" style="187" customWidth="1"/>
    <col min="10253" max="10253" width="15.1640625" style="187" customWidth="1"/>
    <col min="10254" max="10496" width="9.33203125" style="187"/>
    <col min="10497" max="10497" width="5.83203125" style="187" customWidth="1"/>
    <col min="10498" max="10498" width="22.33203125" style="187" customWidth="1"/>
    <col min="10499" max="10499" width="13" style="187" customWidth="1"/>
    <col min="10500" max="10500" width="11" style="187" customWidth="1"/>
    <col min="10501" max="10501" width="15.5" style="187" customWidth="1"/>
    <col min="10502" max="10502" width="11.1640625" style="187" customWidth="1"/>
    <col min="10503" max="10503" width="13.33203125" style="187" customWidth="1"/>
    <col min="10504" max="10505" width="14" style="187" customWidth="1"/>
    <col min="10506" max="10506" width="13.33203125" style="187" customWidth="1"/>
    <col min="10507" max="10507" width="12.33203125" style="187" customWidth="1"/>
    <col min="10508" max="10508" width="14.33203125" style="187" customWidth="1"/>
    <col min="10509" max="10509" width="15.1640625" style="187" customWidth="1"/>
    <col min="10510" max="10752" width="9.33203125" style="187"/>
    <col min="10753" max="10753" width="5.83203125" style="187" customWidth="1"/>
    <col min="10754" max="10754" width="22.33203125" style="187" customWidth="1"/>
    <col min="10755" max="10755" width="13" style="187" customWidth="1"/>
    <col min="10756" max="10756" width="11" style="187" customWidth="1"/>
    <col min="10757" max="10757" width="15.5" style="187" customWidth="1"/>
    <col min="10758" max="10758" width="11.1640625" style="187" customWidth="1"/>
    <col min="10759" max="10759" width="13.33203125" style="187" customWidth="1"/>
    <col min="10760" max="10761" width="14" style="187" customWidth="1"/>
    <col min="10762" max="10762" width="13.33203125" style="187" customWidth="1"/>
    <col min="10763" max="10763" width="12.33203125" style="187" customWidth="1"/>
    <col min="10764" max="10764" width="14.33203125" style="187" customWidth="1"/>
    <col min="10765" max="10765" width="15.1640625" style="187" customWidth="1"/>
    <col min="10766" max="11008" width="9.33203125" style="187"/>
    <col min="11009" max="11009" width="5.83203125" style="187" customWidth="1"/>
    <col min="11010" max="11010" width="22.33203125" style="187" customWidth="1"/>
    <col min="11011" max="11011" width="13" style="187" customWidth="1"/>
    <col min="11012" max="11012" width="11" style="187" customWidth="1"/>
    <col min="11013" max="11013" width="15.5" style="187" customWidth="1"/>
    <col min="11014" max="11014" width="11.1640625" style="187" customWidth="1"/>
    <col min="11015" max="11015" width="13.33203125" style="187" customWidth="1"/>
    <col min="11016" max="11017" width="14" style="187" customWidth="1"/>
    <col min="11018" max="11018" width="13.33203125" style="187" customWidth="1"/>
    <col min="11019" max="11019" width="12.33203125" style="187" customWidth="1"/>
    <col min="11020" max="11020" width="14.33203125" style="187" customWidth="1"/>
    <col min="11021" max="11021" width="15.1640625" style="187" customWidth="1"/>
    <col min="11022" max="11264" width="9.33203125" style="187"/>
    <col min="11265" max="11265" width="5.83203125" style="187" customWidth="1"/>
    <col min="11266" max="11266" width="22.33203125" style="187" customWidth="1"/>
    <col min="11267" max="11267" width="13" style="187" customWidth="1"/>
    <col min="11268" max="11268" width="11" style="187" customWidth="1"/>
    <col min="11269" max="11269" width="15.5" style="187" customWidth="1"/>
    <col min="11270" max="11270" width="11.1640625" style="187" customWidth="1"/>
    <col min="11271" max="11271" width="13.33203125" style="187" customWidth="1"/>
    <col min="11272" max="11273" width="14" style="187" customWidth="1"/>
    <col min="11274" max="11274" width="13.33203125" style="187" customWidth="1"/>
    <col min="11275" max="11275" width="12.33203125" style="187" customWidth="1"/>
    <col min="11276" max="11276" width="14.33203125" style="187" customWidth="1"/>
    <col min="11277" max="11277" width="15.1640625" style="187" customWidth="1"/>
    <col min="11278" max="11520" width="9.33203125" style="187"/>
    <col min="11521" max="11521" width="5.83203125" style="187" customWidth="1"/>
    <col min="11522" max="11522" width="22.33203125" style="187" customWidth="1"/>
    <col min="11523" max="11523" width="13" style="187" customWidth="1"/>
    <col min="11524" max="11524" width="11" style="187" customWidth="1"/>
    <col min="11525" max="11525" width="15.5" style="187" customWidth="1"/>
    <col min="11526" max="11526" width="11.1640625" style="187" customWidth="1"/>
    <col min="11527" max="11527" width="13.33203125" style="187" customWidth="1"/>
    <col min="11528" max="11529" width="14" style="187" customWidth="1"/>
    <col min="11530" max="11530" width="13.33203125" style="187" customWidth="1"/>
    <col min="11531" max="11531" width="12.33203125" style="187" customWidth="1"/>
    <col min="11532" max="11532" width="14.33203125" style="187" customWidth="1"/>
    <col min="11533" max="11533" width="15.1640625" style="187" customWidth="1"/>
    <col min="11534" max="11776" width="9.33203125" style="187"/>
    <col min="11777" max="11777" width="5.83203125" style="187" customWidth="1"/>
    <col min="11778" max="11778" width="22.33203125" style="187" customWidth="1"/>
    <col min="11779" max="11779" width="13" style="187" customWidth="1"/>
    <col min="11780" max="11780" width="11" style="187" customWidth="1"/>
    <col min="11781" max="11781" width="15.5" style="187" customWidth="1"/>
    <col min="11782" max="11782" width="11.1640625" style="187" customWidth="1"/>
    <col min="11783" max="11783" width="13.33203125" style="187" customWidth="1"/>
    <col min="11784" max="11785" width="14" style="187" customWidth="1"/>
    <col min="11786" max="11786" width="13.33203125" style="187" customWidth="1"/>
    <col min="11787" max="11787" width="12.33203125" style="187" customWidth="1"/>
    <col min="11788" max="11788" width="14.33203125" style="187" customWidth="1"/>
    <col min="11789" max="11789" width="15.1640625" style="187" customWidth="1"/>
    <col min="11790" max="12032" width="9.33203125" style="187"/>
    <col min="12033" max="12033" width="5.83203125" style="187" customWidth="1"/>
    <col min="12034" max="12034" width="22.33203125" style="187" customWidth="1"/>
    <col min="12035" max="12035" width="13" style="187" customWidth="1"/>
    <col min="12036" max="12036" width="11" style="187" customWidth="1"/>
    <col min="12037" max="12037" width="15.5" style="187" customWidth="1"/>
    <col min="12038" max="12038" width="11.1640625" style="187" customWidth="1"/>
    <col min="12039" max="12039" width="13.33203125" style="187" customWidth="1"/>
    <col min="12040" max="12041" width="14" style="187" customWidth="1"/>
    <col min="12042" max="12042" width="13.33203125" style="187" customWidth="1"/>
    <col min="12043" max="12043" width="12.33203125" style="187" customWidth="1"/>
    <col min="12044" max="12044" width="14.33203125" style="187" customWidth="1"/>
    <col min="12045" max="12045" width="15.1640625" style="187" customWidth="1"/>
    <col min="12046" max="12288" width="9.33203125" style="187"/>
    <col min="12289" max="12289" width="5.83203125" style="187" customWidth="1"/>
    <col min="12290" max="12290" width="22.33203125" style="187" customWidth="1"/>
    <col min="12291" max="12291" width="13" style="187" customWidth="1"/>
    <col min="12292" max="12292" width="11" style="187" customWidth="1"/>
    <col min="12293" max="12293" width="15.5" style="187" customWidth="1"/>
    <col min="12294" max="12294" width="11.1640625" style="187" customWidth="1"/>
    <col min="12295" max="12295" width="13.33203125" style="187" customWidth="1"/>
    <col min="12296" max="12297" width="14" style="187" customWidth="1"/>
    <col min="12298" max="12298" width="13.33203125" style="187" customWidth="1"/>
    <col min="12299" max="12299" width="12.33203125" style="187" customWidth="1"/>
    <col min="12300" max="12300" width="14.33203125" style="187" customWidth="1"/>
    <col min="12301" max="12301" width="15.1640625" style="187" customWidth="1"/>
    <col min="12302" max="12544" width="9.33203125" style="187"/>
    <col min="12545" max="12545" width="5.83203125" style="187" customWidth="1"/>
    <col min="12546" max="12546" width="22.33203125" style="187" customWidth="1"/>
    <col min="12547" max="12547" width="13" style="187" customWidth="1"/>
    <col min="12548" max="12548" width="11" style="187" customWidth="1"/>
    <col min="12549" max="12549" width="15.5" style="187" customWidth="1"/>
    <col min="12550" max="12550" width="11.1640625" style="187" customWidth="1"/>
    <col min="12551" max="12551" width="13.33203125" style="187" customWidth="1"/>
    <col min="12552" max="12553" width="14" style="187" customWidth="1"/>
    <col min="12554" max="12554" width="13.33203125" style="187" customWidth="1"/>
    <col min="12555" max="12555" width="12.33203125" style="187" customWidth="1"/>
    <col min="12556" max="12556" width="14.33203125" style="187" customWidth="1"/>
    <col min="12557" max="12557" width="15.1640625" style="187" customWidth="1"/>
    <col min="12558" max="12800" width="9.33203125" style="187"/>
    <col min="12801" max="12801" width="5.83203125" style="187" customWidth="1"/>
    <col min="12802" max="12802" width="22.33203125" style="187" customWidth="1"/>
    <col min="12803" max="12803" width="13" style="187" customWidth="1"/>
    <col min="12804" max="12804" width="11" style="187" customWidth="1"/>
    <col min="12805" max="12805" width="15.5" style="187" customWidth="1"/>
    <col min="12806" max="12806" width="11.1640625" style="187" customWidth="1"/>
    <col min="12807" max="12807" width="13.33203125" style="187" customWidth="1"/>
    <col min="12808" max="12809" width="14" style="187" customWidth="1"/>
    <col min="12810" max="12810" width="13.33203125" style="187" customWidth="1"/>
    <col min="12811" max="12811" width="12.33203125" style="187" customWidth="1"/>
    <col min="12812" max="12812" width="14.33203125" style="187" customWidth="1"/>
    <col min="12813" max="12813" width="15.1640625" style="187" customWidth="1"/>
    <col min="12814" max="13056" width="9.33203125" style="187"/>
    <col min="13057" max="13057" width="5.83203125" style="187" customWidth="1"/>
    <col min="13058" max="13058" width="22.33203125" style="187" customWidth="1"/>
    <col min="13059" max="13059" width="13" style="187" customWidth="1"/>
    <col min="13060" max="13060" width="11" style="187" customWidth="1"/>
    <col min="13061" max="13061" width="15.5" style="187" customWidth="1"/>
    <col min="13062" max="13062" width="11.1640625" style="187" customWidth="1"/>
    <col min="13063" max="13063" width="13.33203125" style="187" customWidth="1"/>
    <col min="13064" max="13065" width="14" style="187" customWidth="1"/>
    <col min="13066" max="13066" width="13.33203125" style="187" customWidth="1"/>
    <col min="13067" max="13067" width="12.33203125" style="187" customWidth="1"/>
    <col min="13068" max="13068" width="14.33203125" style="187" customWidth="1"/>
    <col min="13069" max="13069" width="15.1640625" style="187" customWidth="1"/>
    <col min="13070" max="13312" width="9.33203125" style="187"/>
    <col min="13313" max="13313" width="5.83203125" style="187" customWidth="1"/>
    <col min="13314" max="13314" width="22.33203125" style="187" customWidth="1"/>
    <col min="13315" max="13315" width="13" style="187" customWidth="1"/>
    <col min="13316" max="13316" width="11" style="187" customWidth="1"/>
    <col min="13317" max="13317" width="15.5" style="187" customWidth="1"/>
    <col min="13318" max="13318" width="11.1640625" style="187" customWidth="1"/>
    <col min="13319" max="13319" width="13.33203125" style="187" customWidth="1"/>
    <col min="13320" max="13321" width="14" style="187" customWidth="1"/>
    <col min="13322" max="13322" width="13.33203125" style="187" customWidth="1"/>
    <col min="13323" max="13323" width="12.33203125" style="187" customWidth="1"/>
    <col min="13324" max="13324" width="14.33203125" style="187" customWidth="1"/>
    <col min="13325" max="13325" width="15.1640625" style="187" customWidth="1"/>
    <col min="13326" max="13568" width="9.33203125" style="187"/>
    <col min="13569" max="13569" width="5.83203125" style="187" customWidth="1"/>
    <col min="13570" max="13570" width="22.33203125" style="187" customWidth="1"/>
    <col min="13571" max="13571" width="13" style="187" customWidth="1"/>
    <col min="13572" max="13572" width="11" style="187" customWidth="1"/>
    <col min="13573" max="13573" width="15.5" style="187" customWidth="1"/>
    <col min="13574" max="13574" width="11.1640625" style="187" customWidth="1"/>
    <col min="13575" max="13575" width="13.33203125" style="187" customWidth="1"/>
    <col min="13576" max="13577" width="14" style="187" customWidth="1"/>
    <col min="13578" max="13578" width="13.33203125" style="187" customWidth="1"/>
    <col min="13579" max="13579" width="12.33203125" style="187" customWidth="1"/>
    <col min="13580" max="13580" width="14.33203125" style="187" customWidth="1"/>
    <col min="13581" max="13581" width="15.1640625" style="187" customWidth="1"/>
    <col min="13582" max="13824" width="9.33203125" style="187"/>
    <col min="13825" max="13825" width="5.83203125" style="187" customWidth="1"/>
    <col min="13826" max="13826" width="22.33203125" style="187" customWidth="1"/>
    <col min="13827" max="13827" width="13" style="187" customWidth="1"/>
    <col min="13828" max="13828" width="11" style="187" customWidth="1"/>
    <col min="13829" max="13829" width="15.5" style="187" customWidth="1"/>
    <col min="13830" max="13830" width="11.1640625" style="187" customWidth="1"/>
    <col min="13831" max="13831" width="13.33203125" style="187" customWidth="1"/>
    <col min="13832" max="13833" width="14" style="187" customWidth="1"/>
    <col min="13834" max="13834" width="13.33203125" style="187" customWidth="1"/>
    <col min="13835" max="13835" width="12.33203125" style="187" customWidth="1"/>
    <col min="13836" max="13836" width="14.33203125" style="187" customWidth="1"/>
    <col min="13837" max="13837" width="15.1640625" style="187" customWidth="1"/>
    <col min="13838" max="14080" width="9.33203125" style="187"/>
    <col min="14081" max="14081" width="5.83203125" style="187" customWidth="1"/>
    <col min="14082" max="14082" width="22.33203125" style="187" customWidth="1"/>
    <col min="14083" max="14083" width="13" style="187" customWidth="1"/>
    <col min="14084" max="14084" width="11" style="187" customWidth="1"/>
    <col min="14085" max="14085" width="15.5" style="187" customWidth="1"/>
    <col min="14086" max="14086" width="11.1640625" style="187" customWidth="1"/>
    <col min="14087" max="14087" width="13.33203125" style="187" customWidth="1"/>
    <col min="14088" max="14089" width="14" style="187" customWidth="1"/>
    <col min="14090" max="14090" width="13.33203125" style="187" customWidth="1"/>
    <col min="14091" max="14091" width="12.33203125" style="187" customWidth="1"/>
    <col min="14092" max="14092" width="14.33203125" style="187" customWidth="1"/>
    <col min="14093" max="14093" width="15.1640625" style="187" customWidth="1"/>
    <col min="14094" max="14336" width="9.33203125" style="187"/>
    <col min="14337" max="14337" width="5.83203125" style="187" customWidth="1"/>
    <col min="14338" max="14338" width="22.33203125" style="187" customWidth="1"/>
    <col min="14339" max="14339" width="13" style="187" customWidth="1"/>
    <col min="14340" max="14340" width="11" style="187" customWidth="1"/>
    <col min="14341" max="14341" width="15.5" style="187" customWidth="1"/>
    <col min="14342" max="14342" width="11.1640625" style="187" customWidth="1"/>
    <col min="14343" max="14343" width="13.33203125" style="187" customWidth="1"/>
    <col min="14344" max="14345" width="14" style="187" customWidth="1"/>
    <col min="14346" max="14346" width="13.33203125" style="187" customWidth="1"/>
    <col min="14347" max="14347" width="12.33203125" style="187" customWidth="1"/>
    <col min="14348" max="14348" width="14.33203125" style="187" customWidth="1"/>
    <col min="14349" max="14349" width="15.1640625" style="187" customWidth="1"/>
    <col min="14350" max="14592" width="9.33203125" style="187"/>
    <col min="14593" max="14593" width="5.83203125" style="187" customWidth="1"/>
    <col min="14594" max="14594" width="22.33203125" style="187" customWidth="1"/>
    <col min="14595" max="14595" width="13" style="187" customWidth="1"/>
    <col min="14596" max="14596" width="11" style="187" customWidth="1"/>
    <col min="14597" max="14597" width="15.5" style="187" customWidth="1"/>
    <col min="14598" max="14598" width="11.1640625" style="187" customWidth="1"/>
    <col min="14599" max="14599" width="13.33203125" style="187" customWidth="1"/>
    <col min="14600" max="14601" width="14" style="187" customWidth="1"/>
    <col min="14602" max="14602" width="13.33203125" style="187" customWidth="1"/>
    <col min="14603" max="14603" width="12.33203125" style="187" customWidth="1"/>
    <col min="14604" max="14604" width="14.33203125" style="187" customWidth="1"/>
    <col min="14605" max="14605" width="15.1640625" style="187" customWidth="1"/>
    <col min="14606" max="14848" width="9.33203125" style="187"/>
    <col min="14849" max="14849" width="5.83203125" style="187" customWidth="1"/>
    <col min="14850" max="14850" width="22.33203125" style="187" customWidth="1"/>
    <col min="14851" max="14851" width="13" style="187" customWidth="1"/>
    <col min="14852" max="14852" width="11" style="187" customWidth="1"/>
    <col min="14853" max="14853" width="15.5" style="187" customWidth="1"/>
    <col min="14854" max="14854" width="11.1640625" style="187" customWidth="1"/>
    <col min="14855" max="14855" width="13.33203125" style="187" customWidth="1"/>
    <col min="14856" max="14857" width="14" style="187" customWidth="1"/>
    <col min="14858" max="14858" width="13.33203125" style="187" customWidth="1"/>
    <col min="14859" max="14859" width="12.33203125" style="187" customWidth="1"/>
    <col min="14860" max="14860" width="14.33203125" style="187" customWidth="1"/>
    <col min="14861" max="14861" width="15.1640625" style="187" customWidth="1"/>
    <col min="14862" max="15104" width="9.33203125" style="187"/>
    <col min="15105" max="15105" width="5.83203125" style="187" customWidth="1"/>
    <col min="15106" max="15106" width="22.33203125" style="187" customWidth="1"/>
    <col min="15107" max="15107" width="13" style="187" customWidth="1"/>
    <col min="15108" max="15108" width="11" style="187" customWidth="1"/>
    <col min="15109" max="15109" width="15.5" style="187" customWidth="1"/>
    <col min="15110" max="15110" width="11.1640625" style="187" customWidth="1"/>
    <col min="15111" max="15111" width="13.33203125" style="187" customWidth="1"/>
    <col min="15112" max="15113" width="14" style="187" customWidth="1"/>
    <col min="15114" max="15114" width="13.33203125" style="187" customWidth="1"/>
    <col min="15115" max="15115" width="12.33203125" style="187" customWidth="1"/>
    <col min="15116" max="15116" width="14.33203125" style="187" customWidth="1"/>
    <col min="15117" max="15117" width="15.1640625" style="187" customWidth="1"/>
    <col min="15118" max="15360" width="9.33203125" style="187"/>
    <col min="15361" max="15361" width="5.83203125" style="187" customWidth="1"/>
    <col min="15362" max="15362" width="22.33203125" style="187" customWidth="1"/>
    <col min="15363" max="15363" width="13" style="187" customWidth="1"/>
    <col min="15364" max="15364" width="11" style="187" customWidth="1"/>
    <col min="15365" max="15365" width="15.5" style="187" customWidth="1"/>
    <col min="15366" max="15366" width="11.1640625" style="187" customWidth="1"/>
    <col min="15367" max="15367" width="13.33203125" style="187" customWidth="1"/>
    <col min="15368" max="15369" width="14" style="187" customWidth="1"/>
    <col min="15370" max="15370" width="13.33203125" style="187" customWidth="1"/>
    <col min="15371" max="15371" width="12.33203125" style="187" customWidth="1"/>
    <col min="15372" max="15372" width="14.33203125" style="187" customWidth="1"/>
    <col min="15373" max="15373" width="15.1640625" style="187" customWidth="1"/>
    <col min="15374" max="15616" width="9.33203125" style="187"/>
    <col min="15617" max="15617" width="5.83203125" style="187" customWidth="1"/>
    <col min="15618" max="15618" width="22.33203125" style="187" customWidth="1"/>
    <col min="15619" max="15619" width="13" style="187" customWidth="1"/>
    <col min="15620" max="15620" width="11" style="187" customWidth="1"/>
    <col min="15621" max="15621" width="15.5" style="187" customWidth="1"/>
    <col min="15622" max="15622" width="11.1640625" style="187" customWidth="1"/>
    <col min="15623" max="15623" width="13.33203125" style="187" customWidth="1"/>
    <col min="15624" max="15625" width="14" style="187" customWidth="1"/>
    <col min="15626" max="15626" width="13.33203125" style="187" customWidth="1"/>
    <col min="15627" max="15627" width="12.33203125" style="187" customWidth="1"/>
    <col min="15628" max="15628" width="14.33203125" style="187" customWidth="1"/>
    <col min="15629" max="15629" width="15.1640625" style="187" customWidth="1"/>
    <col min="15630" max="15872" width="9.33203125" style="187"/>
    <col min="15873" max="15873" width="5.83203125" style="187" customWidth="1"/>
    <col min="15874" max="15874" width="22.33203125" style="187" customWidth="1"/>
    <col min="15875" max="15875" width="13" style="187" customWidth="1"/>
    <col min="15876" max="15876" width="11" style="187" customWidth="1"/>
    <col min="15877" max="15877" width="15.5" style="187" customWidth="1"/>
    <col min="15878" max="15878" width="11.1640625" style="187" customWidth="1"/>
    <col min="15879" max="15879" width="13.33203125" style="187" customWidth="1"/>
    <col min="15880" max="15881" width="14" style="187" customWidth="1"/>
    <col min="15882" max="15882" width="13.33203125" style="187" customWidth="1"/>
    <col min="15883" max="15883" width="12.33203125" style="187" customWidth="1"/>
    <col min="15884" max="15884" width="14.33203125" style="187" customWidth="1"/>
    <col min="15885" max="15885" width="15.1640625" style="187" customWidth="1"/>
    <col min="15886" max="16128" width="9.33203125" style="187"/>
    <col min="16129" max="16129" width="5.83203125" style="187" customWidth="1"/>
    <col min="16130" max="16130" width="22.33203125" style="187" customWidth="1"/>
    <col min="16131" max="16131" width="13" style="187" customWidth="1"/>
    <col min="16132" max="16132" width="11" style="187" customWidth="1"/>
    <col min="16133" max="16133" width="15.5" style="187" customWidth="1"/>
    <col min="16134" max="16134" width="11.1640625" style="187" customWidth="1"/>
    <col min="16135" max="16135" width="13.33203125" style="187" customWidth="1"/>
    <col min="16136" max="16137" width="14" style="187" customWidth="1"/>
    <col min="16138" max="16138" width="13.33203125" style="187" customWidth="1"/>
    <col min="16139" max="16139" width="12.33203125" style="187" customWidth="1"/>
    <col min="16140" max="16140" width="14.33203125" style="187" customWidth="1"/>
    <col min="16141" max="16141" width="15.1640625" style="187" customWidth="1"/>
    <col min="16142" max="16384" width="9.33203125" style="187"/>
  </cols>
  <sheetData>
    <row r="1" spans="1:13" ht="33" customHeight="1" x14ac:dyDescent="0.2">
      <c r="A1" s="1162" t="s">
        <v>740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</row>
    <row r="2" spans="1:13" ht="15" x14ac:dyDescent="0.2">
      <c r="A2" s="188"/>
      <c r="B2" s="189"/>
      <c r="C2" s="189"/>
      <c r="D2" s="190"/>
      <c r="E2" s="191"/>
      <c r="F2" s="191"/>
      <c r="G2" s="192"/>
      <c r="H2" s="192"/>
      <c r="I2" s="191"/>
    </row>
    <row r="3" spans="1:13" ht="15" x14ac:dyDescent="0.2">
      <c r="A3" s="188"/>
      <c r="B3" s="193"/>
      <c r="C3" s="193"/>
      <c r="D3" s="194"/>
      <c r="E3" s="190"/>
      <c r="F3" s="190"/>
      <c r="G3" s="190"/>
      <c r="H3" s="190"/>
      <c r="I3" s="190"/>
      <c r="K3" s="1175" t="s">
        <v>371</v>
      </c>
      <c r="L3" s="1175"/>
      <c r="M3" s="1175"/>
    </row>
    <row r="4" spans="1:13" s="202" customFormat="1" ht="75.75" customHeight="1" x14ac:dyDescent="0.2">
      <c r="A4" s="196" t="s">
        <v>365</v>
      </c>
      <c r="B4" s="197" t="s">
        <v>401</v>
      </c>
      <c r="C4" s="197" t="s">
        <v>402</v>
      </c>
      <c r="D4" s="197" t="s">
        <v>412</v>
      </c>
      <c r="E4" s="197" t="s">
        <v>201</v>
      </c>
      <c r="F4" s="197" t="s">
        <v>413</v>
      </c>
      <c r="G4" s="198" t="s">
        <v>205</v>
      </c>
      <c r="H4" s="198" t="s">
        <v>414</v>
      </c>
      <c r="I4" s="198" t="s">
        <v>226</v>
      </c>
      <c r="J4" s="200" t="s">
        <v>228</v>
      </c>
      <c r="K4" s="227" t="s">
        <v>230</v>
      </c>
      <c r="L4" s="624" t="s">
        <v>415</v>
      </c>
      <c r="M4" s="228" t="s">
        <v>416</v>
      </c>
    </row>
    <row r="5" spans="1:13" ht="65.25" customHeight="1" x14ac:dyDescent="0.2">
      <c r="A5" s="203" t="s">
        <v>9</v>
      </c>
      <c r="B5" s="916" t="s">
        <v>408</v>
      </c>
      <c r="C5" s="922" t="s">
        <v>409</v>
      </c>
      <c r="D5" s="229"/>
      <c r="E5" s="230"/>
      <c r="F5" s="230"/>
      <c r="G5" s="231"/>
      <c r="H5" s="231"/>
      <c r="I5" s="230"/>
      <c r="J5" s="232"/>
      <c r="K5" s="233"/>
      <c r="L5" s="233"/>
      <c r="M5" s="234">
        <f>SUM(D5:L5)</f>
        <v>0</v>
      </c>
    </row>
    <row r="6" spans="1:13" ht="33.75" customHeight="1" x14ac:dyDescent="0.2">
      <c r="A6" s="635" t="s">
        <v>12</v>
      </c>
      <c r="B6" s="918" t="s">
        <v>635</v>
      </c>
      <c r="C6" s="923" t="s">
        <v>634</v>
      </c>
      <c r="D6" s="636"/>
      <c r="E6" s="637"/>
      <c r="F6" s="637"/>
      <c r="G6" s="638"/>
      <c r="H6" s="638"/>
      <c r="I6" s="637"/>
      <c r="J6" s="639"/>
      <c r="K6" s="640"/>
      <c r="L6" s="640"/>
      <c r="M6" s="234">
        <f t="shared" ref="M6:M9" si="0">SUM(D6:L6)</f>
        <v>0</v>
      </c>
    </row>
    <row r="7" spans="1:13" ht="31.5" customHeight="1" x14ac:dyDescent="0.2">
      <c r="A7" s="635" t="s">
        <v>15</v>
      </c>
      <c r="B7" s="918" t="s">
        <v>410</v>
      </c>
      <c r="C7" s="923" t="s">
        <v>411</v>
      </c>
      <c r="D7" s="636"/>
      <c r="E7" s="637"/>
      <c r="F7" s="637"/>
      <c r="G7" s="638"/>
      <c r="H7" s="638"/>
      <c r="I7" s="637"/>
      <c r="J7" s="639"/>
      <c r="K7" s="640"/>
      <c r="L7" s="651"/>
      <c r="M7" s="234">
        <f t="shared" si="0"/>
        <v>0</v>
      </c>
    </row>
    <row r="8" spans="1:13" ht="31.5" customHeight="1" x14ac:dyDescent="0.2">
      <c r="A8" s="203" t="s">
        <v>18</v>
      </c>
      <c r="B8" s="916" t="s">
        <v>638</v>
      </c>
      <c r="C8" s="922" t="s">
        <v>636</v>
      </c>
      <c r="D8" s="229"/>
      <c r="E8" s="230"/>
      <c r="F8" s="230"/>
      <c r="G8" s="231"/>
      <c r="H8" s="231"/>
      <c r="I8" s="230"/>
      <c r="J8" s="232"/>
      <c r="K8" s="232"/>
      <c r="L8" s="233"/>
      <c r="M8" s="234">
        <f t="shared" si="0"/>
        <v>0</v>
      </c>
    </row>
    <row r="9" spans="1:13" ht="43.5" customHeight="1" x14ac:dyDescent="0.2">
      <c r="A9" s="649" t="s">
        <v>21</v>
      </c>
      <c r="B9" s="924" t="s">
        <v>639</v>
      </c>
      <c r="C9" s="925" t="s">
        <v>637</v>
      </c>
      <c r="D9" s="645"/>
      <c r="E9" s="646"/>
      <c r="F9" s="646"/>
      <c r="G9" s="647"/>
      <c r="H9" s="647"/>
      <c r="I9" s="646"/>
      <c r="J9" s="648"/>
      <c r="K9" s="650"/>
      <c r="L9" s="652"/>
      <c r="M9" s="234">
        <f t="shared" si="0"/>
        <v>0</v>
      </c>
    </row>
    <row r="10" spans="1:13" s="209" customFormat="1" ht="33" customHeight="1" x14ac:dyDescent="0.25">
      <c r="A10" s="205" t="s">
        <v>24</v>
      </c>
      <c r="B10" s="206" t="s">
        <v>366</v>
      </c>
      <c r="C10" s="207"/>
      <c r="D10" s="208">
        <f>SUM(D5:D9)</f>
        <v>0</v>
      </c>
      <c r="E10" s="208">
        <f t="shared" ref="E10:M10" si="1">SUM(E5:E9)</f>
        <v>0</v>
      </c>
      <c r="F10" s="208">
        <f t="shared" si="1"/>
        <v>0</v>
      </c>
      <c r="G10" s="208">
        <f t="shared" si="1"/>
        <v>0</v>
      </c>
      <c r="H10" s="208">
        <f t="shared" si="1"/>
        <v>0</v>
      </c>
      <c r="I10" s="208">
        <f t="shared" si="1"/>
        <v>0</v>
      </c>
      <c r="J10" s="208">
        <f t="shared" si="1"/>
        <v>0</v>
      </c>
      <c r="K10" s="208">
        <f t="shared" si="1"/>
        <v>0</v>
      </c>
      <c r="L10" s="641">
        <f t="shared" si="1"/>
        <v>0</v>
      </c>
      <c r="M10" s="644">
        <f t="shared" si="1"/>
        <v>0</v>
      </c>
    </row>
    <row r="11" spans="1:13" ht="21" customHeight="1" x14ac:dyDescent="0.2">
      <c r="A11" s="210"/>
      <c r="B11" s="211"/>
      <c r="C11" s="211"/>
      <c r="D11" s="212"/>
      <c r="E11" s="213"/>
      <c r="F11" s="212"/>
      <c r="G11" s="212"/>
      <c r="H11" s="212"/>
      <c r="I11" s="214"/>
    </row>
    <row r="12" spans="1:13" ht="42" customHeight="1" x14ac:dyDescent="0.2">
      <c r="A12" s="210"/>
      <c r="B12" s="215"/>
      <c r="C12" s="216"/>
      <c r="D12" s="217"/>
      <c r="E12" s="213"/>
      <c r="F12" s="213"/>
      <c r="G12" s="212"/>
      <c r="H12" s="212"/>
      <c r="I12" s="212"/>
    </row>
    <row r="13" spans="1:13" ht="42" customHeight="1" x14ac:dyDescent="0.2">
      <c r="A13" s="218"/>
      <c r="B13" s="219"/>
      <c r="C13" s="220"/>
      <c r="D13" s="221"/>
      <c r="E13" s="191"/>
      <c r="F13" s="191"/>
      <c r="G13" s="192"/>
      <c r="H13" s="192"/>
      <c r="I13" s="192"/>
    </row>
    <row r="14" spans="1:13" ht="15" x14ac:dyDescent="0.2">
      <c r="A14" s="188"/>
      <c r="B14" s="189"/>
      <c r="C14" s="189"/>
      <c r="D14" s="190"/>
      <c r="E14" s="190"/>
      <c r="F14" s="190"/>
      <c r="G14" s="190"/>
      <c r="H14" s="190"/>
      <c r="I14" s="190"/>
    </row>
    <row r="15" spans="1:13" s="223" customFormat="1" ht="15" x14ac:dyDescent="0.2">
      <c r="A15" s="188"/>
      <c r="B15" s="189"/>
      <c r="C15" s="189"/>
      <c r="D15" s="190"/>
      <c r="E15" s="191"/>
      <c r="F15" s="222"/>
      <c r="G15" s="222"/>
      <c r="H15" s="222"/>
      <c r="I15" s="22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7:J24"/>
  <sheetViews>
    <sheetView workbookViewId="0">
      <selection activeCell="C29" sqref="C29"/>
    </sheetView>
  </sheetViews>
  <sheetFormatPr defaultColWidth="9.33203125" defaultRowHeight="12.75" x14ac:dyDescent="0.2"/>
  <cols>
    <col min="1" max="1" width="9.33203125" style="134"/>
    <col min="2" max="2" width="88.83203125" style="134" customWidth="1"/>
    <col min="3" max="3" width="17.83203125" style="134" customWidth="1"/>
    <col min="4" max="11" width="21.5" style="134" customWidth="1"/>
    <col min="12" max="16384" width="9.33203125" style="134"/>
  </cols>
  <sheetData>
    <row r="7" spans="1:10" x14ac:dyDescent="0.2">
      <c r="A7" s="1165"/>
      <c r="B7" s="1166" t="s">
        <v>262</v>
      </c>
      <c r="C7" s="1165" t="s">
        <v>722</v>
      </c>
      <c r="D7" s="1165"/>
      <c r="E7" s="1165"/>
      <c r="F7" s="1165"/>
      <c r="G7" s="1165"/>
      <c r="H7" s="1165"/>
      <c r="I7" s="1165"/>
      <c r="J7" s="1165"/>
    </row>
    <row r="8" spans="1:10" x14ac:dyDescent="0.2">
      <c r="A8" s="1165"/>
      <c r="B8" s="1167"/>
      <c r="C8" s="1165" t="s">
        <v>412</v>
      </c>
      <c r="D8" s="1165"/>
      <c r="E8" s="1165"/>
      <c r="F8" s="1165"/>
      <c r="G8" s="1165"/>
      <c r="H8" s="1165"/>
      <c r="I8" s="1165"/>
      <c r="J8" s="1165"/>
    </row>
    <row r="9" spans="1:10" ht="75" x14ac:dyDescent="0.25">
      <c r="A9" s="1165"/>
      <c r="B9" s="1168"/>
      <c r="C9" s="950" t="s">
        <v>781</v>
      </c>
      <c r="D9" s="951" t="s">
        <v>794</v>
      </c>
      <c r="E9" s="951"/>
      <c r="F9" s="951"/>
      <c r="G9" s="951"/>
      <c r="I9" s="951"/>
      <c r="J9" s="951" t="s">
        <v>851</v>
      </c>
    </row>
    <row r="10" spans="1:10" ht="15.75" x14ac:dyDescent="0.2">
      <c r="A10" s="941" t="s">
        <v>9</v>
      </c>
      <c r="B10" s="942" t="s">
        <v>799</v>
      </c>
      <c r="C10" s="943">
        <f>SUM(D10:J10)</f>
        <v>22915102</v>
      </c>
      <c r="D10" s="943"/>
      <c r="E10" s="943"/>
      <c r="F10" s="943"/>
      <c r="G10" s="943"/>
      <c r="H10" s="943"/>
      <c r="I10" s="952"/>
      <c r="J10" s="973">
        <f>'[18]201712'!$AB$195+'[18]Összesen 1-11 hó'!$AB$194</f>
        <v>22915102</v>
      </c>
    </row>
    <row r="11" spans="1:10" ht="15.75" x14ac:dyDescent="0.2">
      <c r="A11" s="941" t="s">
        <v>12</v>
      </c>
      <c r="B11" s="942" t="s">
        <v>800</v>
      </c>
      <c r="C11" s="943">
        <f t="shared" ref="C11:C18" si="0">SUM(D11:J11)</f>
        <v>0</v>
      </c>
      <c r="D11" s="943"/>
      <c r="E11" s="943"/>
      <c r="F11" s="943"/>
      <c r="G11" s="943"/>
      <c r="H11" s="943"/>
      <c r="I11" s="952"/>
      <c r="J11" s="952"/>
    </row>
    <row r="12" spans="1:10" ht="15.75" x14ac:dyDescent="0.25">
      <c r="A12" s="941" t="s">
        <v>15</v>
      </c>
      <c r="B12" s="946" t="s">
        <v>785</v>
      </c>
      <c r="C12" s="943">
        <f t="shared" si="0"/>
        <v>0</v>
      </c>
      <c r="D12" s="943"/>
      <c r="E12" s="943"/>
      <c r="F12" s="943"/>
      <c r="G12" s="943"/>
      <c r="H12" s="943"/>
      <c r="I12" s="952"/>
      <c r="J12" s="952"/>
    </row>
    <row r="13" spans="1:10" ht="15.75" x14ac:dyDescent="0.2">
      <c r="A13" s="941" t="s">
        <v>18</v>
      </c>
      <c r="B13" s="942" t="s">
        <v>782</v>
      </c>
      <c r="C13" s="943">
        <f t="shared" si="0"/>
        <v>0</v>
      </c>
      <c r="D13" s="943"/>
      <c r="E13" s="943"/>
      <c r="F13" s="943"/>
      <c r="G13" s="943"/>
      <c r="H13" s="943"/>
      <c r="I13" s="952"/>
      <c r="J13" s="952"/>
    </row>
    <row r="14" spans="1:10" ht="15.75" x14ac:dyDescent="0.2">
      <c r="A14" s="941" t="s">
        <v>21</v>
      </c>
      <c r="B14" s="944" t="s">
        <v>784</v>
      </c>
      <c r="C14" s="943">
        <f t="shared" si="0"/>
        <v>1077936</v>
      </c>
      <c r="D14" s="943"/>
      <c r="E14" s="943"/>
      <c r="F14" s="943"/>
      <c r="G14" s="943"/>
      <c r="H14" s="943"/>
      <c r="I14" s="952"/>
      <c r="J14" s="973">
        <f>[18]Cafetéria!$D$195</f>
        <v>1077936</v>
      </c>
    </row>
    <row r="15" spans="1:10" ht="15.75" x14ac:dyDescent="0.2">
      <c r="A15" s="941" t="s">
        <v>24</v>
      </c>
      <c r="B15" s="942" t="s">
        <v>783</v>
      </c>
      <c r="C15" s="943">
        <f t="shared" si="0"/>
        <v>1091716</v>
      </c>
      <c r="D15" s="943"/>
      <c r="E15" s="943"/>
      <c r="F15" s="943"/>
      <c r="G15" s="943"/>
      <c r="H15" s="943"/>
      <c r="I15" s="952"/>
      <c r="J15" s="973">
        <f>'[18]Munkába járás'!$C$195</f>
        <v>1091716</v>
      </c>
    </row>
    <row r="16" spans="1:10" ht="15.75" x14ac:dyDescent="0.2">
      <c r="A16" s="941" t="s">
        <v>27</v>
      </c>
      <c r="B16" s="942" t="s">
        <v>803</v>
      </c>
      <c r="C16" s="943">
        <f t="shared" si="0"/>
        <v>0</v>
      </c>
      <c r="D16" s="943"/>
      <c r="E16" s="943"/>
      <c r="F16" s="943"/>
      <c r="G16" s="943"/>
      <c r="H16" s="943"/>
      <c r="I16" s="952"/>
      <c r="J16" s="952"/>
    </row>
    <row r="17" spans="1:10" ht="15.75" x14ac:dyDescent="0.2">
      <c r="A17" s="941" t="s">
        <v>30</v>
      </c>
      <c r="B17" s="942" t="s">
        <v>801</v>
      </c>
      <c r="C17" s="943">
        <f t="shared" si="0"/>
        <v>0</v>
      </c>
      <c r="D17" s="943"/>
      <c r="E17" s="943"/>
      <c r="F17" s="943"/>
      <c r="G17" s="943"/>
      <c r="H17" s="943"/>
      <c r="I17" s="952"/>
      <c r="J17" s="952"/>
    </row>
    <row r="18" spans="1:10" ht="15.75" x14ac:dyDescent="0.2">
      <c r="A18" s="941" t="s">
        <v>33</v>
      </c>
      <c r="B18" s="945" t="s">
        <v>802</v>
      </c>
      <c r="C18" s="943">
        <f t="shared" si="0"/>
        <v>0</v>
      </c>
      <c r="D18" s="943"/>
      <c r="E18" s="943"/>
      <c r="F18" s="943"/>
      <c r="G18" s="943"/>
      <c r="H18" s="943"/>
      <c r="I18" s="952"/>
      <c r="J18" s="952"/>
    </row>
    <row r="19" spans="1:10" ht="15.75" x14ac:dyDescent="0.2">
      <c r="A19" s="941" t="s">
        <v>59</v>
      </c>
      <c r="B19" s="947" t="s">
        <v>798</v>
      </c>
      <c r="C19" s="948">
        <f t="shared" ref="C19:J19" si="1">SUM(C10:C18)</f>
        <v>25084754</v>
      </c>
      <c r="D19" s="948">
        <f t="shared" si="1"/>
        <v>0</v>
      </c>
      <c r="E19" s="948">
        <f t="shared" si="1"/>
        <v>0</v>
      </c>
      <c r="F19" s="948">
        <f t="shared" si="1"/>
        <v>0</v>
      </c>
      <c r="G19" s="948">
        <f t="shared" si="1"/>
        <v>0</v>
      </c>
      <c r="H19" s="948">
        <f t="shared" si="1"/>
        <v>0</v>
      </c>
      <c r="I19" s="948">
        <f t="shared" si="1"/>
        <v>0</v>
      </c>
      <c r="J19" s="948">
        <f t="shared" si="1"/>
        <v>25084754</v>
      </c>
    </row>
    <row r="20" spans="1:10" ht="15.75" x14ac:dyDescent="0.2">
      <c r="A20" s="941" t="s">
        <v>61</v>
      </c>
      <c r="B20" s="942" t="s">
        <v>860</v>
      </c>
      <c r="C20" s="943">
        <f>SUM(D20:J20)</f>
        <v>4495504.8900000006</v>
      </c>
      <c r="D20" s="943"/>
      <c r="E20" s="943"/>
      <c r="F20" s="943"/>
      <c r="G20" s="943"/>
      <c r="H20" s="943"/>
      <c r="I20" s="952"/>
      <c r="J20" s="973">
        <f>'[18]201712'!$AH$195+'[18]Összesen 1-11 hó'!$AH$194</f>
        <v>4495504.8900000006</v>
      </c>
    </row>
    <row r="21" spans="1:10" ht="15.75" x14ac:dyDescent="0.2">
      <c r="A21" s="941" t="s">
        <v>63</v>
      </c>
      <c r="B21" s="942" t="s">
        <v>789</v>
      </c>
      <c r="C21" s="943">
        <f t="shared" ref="C21:C23" si="2">SUM(D21:J21)</f>
        <v>178075.02720000001</v>
      </c>
      <c r="D21" s="943"/>
      <c r="E21" s="943"/>
      <c r="F21" s="943"/>
      <c r="G21" s="943"/>
      <c r="H21" s="943"/>
      <c r="I21" s="952"/>
      <c r="J21" s="973">
        <f>[18]Cafetéria!$F$195</f>
        <v>178075.02720000001</v>
      </c>
    </row>
    <row r="22" spans="1:10" ht="15.75" x14ac:dyDescent="0.2">
      <c r="A22" s="941"/>
      <c r="B22" s="942" t="s">
        <v>788</v>
      </c>
      <c r="C22" s="943">
        <f>SUM(D22:J22)</f>
        <v>190794.67199999999</v>
      </c>
      <c r="D22" s="943"/>
      <c r="E22" s="943"/>
      <c r="F22" s="943"/>
      <c r="G22" s="943"/>
      <c r="H22" s="943"/>
      <c r="I22" s="952"/>
      <c r="J22" s="973">
        <f>[18]Cafetéria!$E$195</f>
        <v>190794.67199999999</v>
      </c>
    </row>
    <row r="23" spans="1:10" ht="15.75" x14ac:dyDescent="0.2">
      <c r="A23" s="941" t="s">
        <v>65</v>
      </c>
      <c r="B23" s="942" t="s">
        <v>797</v>
      </c>
      <c r="C23" s="943">
        <f t="shared" si="2"/>
        <v>0</v>
      </c>
      <c r="D23" s="943"/>
      <c r="E23" s="943"/>
      <c r="F23" s="943"/>
      <c r="G23" s="943"/>
      <c r="H23" s="943"/>
      <c r="I23" s="952"/>
      <c r="J23" s="952"/>
    </row>
    <row r="24" spans="1:10" ht="15.75" x14ac:dyDescent="0.2">
      <c r="A24" s="941" t="s">
        <v>67</v>
      </c>
      <c r="B24" s="947" t="s">
        <v>786</v>
      </c>
      <c r="C24" s="948">
        <f>SUM(C20:C23)</f>
        <v>4864374.5892000012</v>
      </c>
      <c r="D24" s="948">
        <f t="shared" ref="D24:J24" si="3">SUM(D20:D23)</f>
        <v>0</v>
      </c>
      <c r="E24" s="948">
        <f t="shared" si="3"/>
        <v>0</v>
      </c>
      <c r="F24" s="948">
        <f t="shared" si="3"/>
        <v>0</v>
      </c>
      <c r="G24" s="948">
        <f t="shared" si="3"/>
        <v>0</v>
      </c>
      <c r="H24" s="948">
        <f t="shared" si="3"/>
        <v>0</v>
      </c>
      <c r="I24" s="948">
        <f t="shared" si="3"/>
        <v>0</v>
      </c>
      <c r="J24" s="948">
        <f t="shared" si="3"/>
        <v>4864374.5892000012</v>
      </c>
    </row>
  </sheetData>
  <mergeCells count="4">
    <mergeCell ref="A7:A9"/>
    <mergeCell ref="B7:B9"/>
    <mergeCell ref="C7:J7"/>
    <mergeCell ref="C8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V53"/>
  <sheetViews>
    <sheetView topLeftCell="A10" workbookViewId="0">
      <selection activeCell="K33" sqref="K33"/>
    </sheetView>
  </sheetViews>
  <sheetFormatPr defaultRowHeight="12.75" x14ac:dyDescent="0.2"/>
  <cols>
    <col min="3" max="3" width="88.83203125" customWidth="1"/>
    <col min="4" max="4" width="17.83203125" customWidth="1"/>
    <col min="5" max="11" width="21.5" customWidth="1"/>
    <col min="12" max="20" width="20.1640625" customWidth="1"/>
    <col min="21" max="21" width="47.83203125" customWidth="1"/>
  </cols>
  <sheetData>
    <row r="7" spans="2:22" x14ac:dyDescent="0.2">
      <c r="U7" s="953"/>
    </row>
    <row r="8" spans="2:22" x14ac:dyDescent="0.2">
      <c r="U8" s="953"/>
    </row>
    <row r="9" spans="2:22" x14ac:dyDescent="0.2">
      <c r="U9" s="953"/>
    </row>
    <row r="10" spans="2:22" x14ac:dyDescent="0.2">
      <c r="B10" s="1165"/>
      <c r="C10" s="1166" t="s">
        <v>262</v>
      </c>
      <c r="D10" s="1165" t="s">
        <v>722</v>
      </c>
      <c r="E10" s="1165"/>
      <c r="F10" s="1165"/>
      <c r="G10" s="1165"/>
      <c r="H10" s="1165"/>
      <c r="I10" s="1165"/>
      <c r="J10" s="1165"/>
      <c r="K10" s="1165"/>
      <c r="U10" s="953"/>
    </row>
    <row r="11" spans="2:22" ht="12.75" customHeight="1" x14ac:dyDescent="0.2">
      <c r="B11" s="1165"/>
      <c r="C11" s="1167"/>
      <c r="D11" s="1165" t="s">
        <v>413</v>
      </c>
      <c r="E11" s="1165"/>
      <c r="F11" s="1165"/>
      <c r="G11" s="1165"/>
      <c r="H11" s="1165"/>
      <c r="I11" s="1165"/>
      <c r="J11" s="1165"/>
      <c r="K11" s="1165"/>
      <c r="U11" s="953"/>
    </row>
    <row r="12" spans="2:22" ht="93.75" customHeight="1" x14ac:dyDescent="0.25">
      <c r="B12" s="1165"/>
      <c r="C12" s="1168"/>
      <c r="D12" s="950" t="s">
        <v>781</v>
      </c>
      <c r="E12" s="951"/>
      <c r="F12" s="951"/>
      <c r="G12" s="951"/>
      <c r="H12" s="951"/>
      <c r="I12" s="951"/>
      <c r="J12" s="951"/>
      <c r="K12" s="951" t="s">
        <v>852</v>
      </c>
      <c r="M12" t="s">
        <v>849</v>
      </c>
      <c r="N12" t="s">
        <v>856</v>
      </c>
      <c r="U12" s="953"/>
    </row>
    <row r="13" spans="2:22" ht="15.75" x14ac:dyDescent="0.2">
      <c r="B13" s="941"/>
      <c r="C13" s="955" t="s">
        <v>804</v>
      </c>
      <c r="D13" s="943">
        <f>SUM(E13:K13)</f>
        <v>94488</v>
      </c>
      <c r="E13" s="943"/>
      <c r="F13" s="943"/>
      <c r="G13" s="943"/>
      <c r="H13" s="943"/>
      <c r="I13" s="943"/>
      <c r="J13" s="952"/>
      <c r="K13" s="983">
        <f>M13+N13</f>
        <v>94488</v>
      </c>
      <c r="L13" s="962"/>
      <c r="M13" s="962"/>
      <c r="N13" s="962">
        <v>94488</v>
      </c>
      <c r="O13" s="962"/>
      <c r="P13" s="962"/>
      <c r="Q13" s="962"/>
      <c r="R13" s="962"/>
      <c r="S13" s="962"/>
      <c r="T13" s="962"/>
      <c r="U13" s="969"/>
      <c r="V13" s="962"/>
    </row>
    <row r="14" spans="2:22" ht="15.75" x14ac:dyDescent="0.2">
      <c r="B14" s="941"/>
      <c r="C14" s="955" t="s">
        <v>805</v>
      </c>
      <c r="D14" s="943">
        <f t="shared" ref="D14:D32" si="0">SUM(E14:K14)</f>
        <v>27953</v>
      </c>
      <c r="E14" s="943"/>
      <c r="F14" s="943"/>
      <c r="G14" s="943"/>
      <c r="H14" s="943"/>
      <c r="I14" s="943"/>
      <c r="J14" s="952"/>
      <c r="K14" s="983">
        <f t="shared" ref="K14:K32" si="1">M14+N14</f>
        <v>27953</v>
      </c>
      <c r="L14" s="962"/>
      <c r="M14" s="962">
        <f>4331</f>
        <v>4331</v>
      </c>
      <c r="N14" s="962">
        <v>23622</v>
      </c>
      <c r="O14" s="962"/>
      <c r="P14" s="962"/>
      <c r="Q14" s="962"/>
      <c r="R14" s="962"/>
      <c r="S14" s="962"/>
      <c r="T14" s="962"/>
      <c r="U14" s="969"/>
      <c r="V14" s="962"/>
    </row>
    <row r="15" spans="2:22" ht="15.75" x14ac:dyDescent="0.2">
      <c r="B15" s="941"/>
      <c r="C15" s="955" t="s">
        <v>817</v>
      </c>
      <c r="D15" s="943">
        <f t="shared" si="0"/>
        <v>0</v>
      </c>
      <c r="E15" s="943"/>
      <c r="F15" s="943"/>
      <c r="G15" s="943"/>
      <c r="H15" s="943"/>
      <c r="I15" s="943"/>
      <c r="J15" s="952"/>
      <c r="K15" s="983">
        <f t="shared" si="1"/>
        <v>0</v>
      </c>
      <c r="L15" s="962"/>
      <c r="M15" s="962"/>
      <c r="N15" s="962"/>
      <c r="O15" s="962"/>
      <c r="P15" s="962"/>
      <c r="Q15" s="962"/>
      <c r="R15" s="962"/>
      <c r="S15" s="962"/>
      <c r="T15" s="962"/>
      <c r="U15" s="969"/>
      <c r="V15" s="962"/>
    </row>
    <row r="16" spans="2:22" ht="15.75" x14ac:dyDescent="0.2">
      <c r="B16" s="941"/>
      <c r="C16" s="955" t="s">
        <v>806</v>
      </c>
      <c r="D16" s="943">
        <f t="shared" si="0"/>
        <v>397091</v>
      </c>
      <c r="E16" s="943"/>
      <c r="F16" s="943"/>
      <c r="G16" s="943"/>
      <c r="H16" s="943"/>
      <c r="I16" s="943"/>
      <c r="J16" s="952"/>
      <c r="K16" s="983">
        <f t="shared" si="1"/>
        <v>397091</v>
      </c>
      <c r="L16" s="962"/>
      <c r="M16" s="962">
        <f>3390</f>
        <v>3390</v>
      </c>
      <c r="N16" s="962">
        <v>393701</v>
      </c>
      <c r="O16" s="962"/>
      <c r="P16" s="962"/>
      <c r="Q16" s="962"/>
      <c r="R16" s="962"/>
      <c r="S16" s="962"/>
      <c r="T16" s="962"/>
      <c r="U16" s="969"/>
      <c r="V16" s="962"/>
    </row>
    <row r="17" spans="2:22" ht="15.75" x14ac:dyDescent="0.2">
      <c r="B17" s="941"/>
      <c r="C17" s="955" t="s">
        <v>807</v>
      </c>
      <c r="D17" s="943">
        <f t="shared" si="0"/>
        <v>622420</v>
      </c>
      <c r="E17" s="943"/>
      <c r="F17" s="943"/>
      <c r="G17" s="943"/>
      <c r="H17" s="943"/>
      <c r="I17" s="943"/>
      <c r="J17" s="952"/>
      <c r="K17" s="983">
        <f t="shared" si="1"/>
        <v>622420</v>
      </c>
      <c r="L17" s="962"/>
      <c r="M17" s="962">
        <f>7200+64039</f>
        <v>71239</v>
      </c>
      <c r="N17" s="962">
        <v>551181</v>
      </c>
      <c r="O17" s="962"/>
      <c r="P17" s="962"/>
      <c r="Q17" s="962"/>
      <c r="R17" s="962"/>
      <c r="S17" s="962"/>
      <c r="T17" s="962"/>
      <c r="U17" s="969"/>
      <c r="V17" s="962"/>
    </row>
    <row r="18" spans="2:22" s="967" customFormat="1" ht="15.75" x14ac:dyDescent="0.2">
      <c r="B18" s="964"/>
      <c r="C18" s="955" t="s">
        <v>857</v>
      </c>
      <c r="D18" s="965">
        <f t="shared" si="0"/>
        <v>449992.75590551179</v>
      </c>
      <c r="E18" s="965"/>
      <c r="F18" s="965"/>
      <c r="G18" s="965"/>
      <c r="H18" s="965"/>
      <c r="I18" s="965"/>
      <c r="J18" s="966"/>
      <c r="K18" s="983">
        <f t="shared" si="1"/>
        <v>449992.75590551179</v>
      </c>
      <c r="L18" s="970"/>
      <c r="M18" s="962">
        <f>72040</f>
        <v>72040</v>
      </c>
      <c r="N18" s="970">
        <v>377952.75590551179</v>
      </c>
      <c r="O18" s="970"/>
      <c r="P18" s="970"/>
      <c r="Q18" s="970"/>
      <c r="R18" s="970"/>
      <c r="S18" s="970"/>
      <c r="T18" s="970"/>
      <c r="U18" s="971"/>
      <c r="V18" s="970"/>
    </row>
    <row r="19" spans="2:22" s="967" customFormat="1" ht="15.75" x14ac:dyDescent="0.2">
      <c r="B19" s="964"/>
      <c r="C19" s="955" t="s">
        <v>858</v>
      </c>
      <c r="D19" s="965">
        <f t="shared" si="0"/>
        <v>814847.57480314956</v>
      </c>
      <c r="E19" s="965"/>
      <c r="F19" s="965"/>
      <c r="G19" s="965"/>
      <c r="H19" s="965"/>
      <c r="I19" s="965"/>
      <c r="J19" s="966"/>
      <c r="K19" s="983">
        <f t="shared" si="1"/>
        <v>814847.57480314956</v>
      </c>
      <c r="L19" s="970"/>
      <c r="M19" s="970">
        <v>27446</v>
      </c>
      <c r="N19" s="970">
        <v>787401.57480314956</v>
      </c>
      <c r="O19" s="970"/>
      <c r="P19" s="970"/>
      <c r="Q19" s="970"/>
      <c r="R19" s="970"/>
      <c r="S19" s="970"/>
      <c r="T19" s="970"/>
      <c r="U19" s="971"/>
      <c r="V19" s="970"/>
    </row>
    <row r="20" spans="2:22" s="967" customFormat="1" ht="15.75" x14ac:dyDescent="0.2">
      <c r="B20" s="964"/>
      <c r="C20" s="955" t="s">
        <v>859</v>
      </c>
      <c r="D20" s="965">
        <f t="shared" si="0"/>
        <v>83964.078740157478</v>
      </c>
      <c r="E20" s="965"/>
      <c r="F20" s="965"/>
      <c r="G20" s="965"/>
      <c r="H20" s="965"/>
      <c r="I20" s="965"/>
      <c r="J20" s="966"/>
      <c r="K20" s="983">
        <f t="shared" si="1"/>
        <v>83964.078740157478</v>
      </c>
      <c r="L20" s="970"/>
      <c r="M20" s="970">
        <v>44594</v>
      </c>
      <c r="N20" s="970">
        <v>39370.078740157478</v>
      </c>
      <c r="O20" s="970"/>
      <c r="P20" s="970"/>
      <c r="Q20" s="970"/>
      <c r="R20" s="970"/>
      <c r="S20" s="970"/>
      <c r="T20" s="970"/>
      <c r="U20" s="971"/>
      <c r="V20" s="970"/>
    </row>
    <row r="21" spans="2:22" ht="15.75" x14ac:dyDescent="0.2">
      <c r="B21" s="941"/>
      <c r="C21" s="955" t="s">
        <v>808</v>
      </c>
      <c r="D21" s="943">
        <f t="shared" si="0"/>
        <v>0</v>
      </c>
      <c r="E21" s="943"/>
      <c r="F21" s="943"/>
      <c r="G21" s="943"/>
      <c r="H21" s="943"/>
      <c r="I21" s="943"/>
      <c r="J21" s="952"/>
      <c r="K21" s="983">
        <f t="shared" si="1"/>
        <v>0</v>
      </c>
      <c r="L21" s="962"/>
      <c r="M21" s="962"/>
      <c r="N21" s="962"/>
      <c r="O21" s="962"/>
      <c r="P21" s="962"/>
      <c r="Q21" s="962"/>
      <c r="R21" s="962"/>
      <c r="S21" s="962"/>
      <c r="T21" s="962"/>
      <c r="U21" s="969"/>
      <c r="V21" s="962"/>
    </row>
    <row r="22" spans="2:22" ht="15.75" x14ac:dyDescent="0.2">
      <c r="B22" s="941"/>
      <c r="C22" s="955" t="s">
        <v>818</v>
      </c>
      <c r="D22" s="943">
        <f t="shared" si="0"/>
        <v>0</v>
      </c>
      <c r="E22" s="943"/>
      <c r="F22" s="943"/>
      <c r="G22" s="943"/>
      <c r="H22" s="943"/>
      <c r="I22" s="943"/>
      <c r="J22" s="952"/>
      <c r="K22" s="983">
        <f t="shared" si="1"/>
        <v>0</v>
      </c>
      <c r="L22" s="962"/>
      <c r="M22" s="962"/>
      <c r="N22" s="962"/>
      <c r="O22" s="962"/>
      <c r="P22" s="962"/>
      <c r="Q22" s="962"/>
      <c r="R22" s="962"/>
      <c r="S22" s="962"/>
      <c r="T22" s="962"/>
      <c r="U22" s="969"/>
      <c r="V22" s="962"/>
    </row>
    <row r="23" spans="2:22" ht="15.75" x14ac:dyDescent="0.2">
      <c r="B23" s="941"/>
      <c r="C23" s="955" t="s">
        <v>809</v>
      </c>
      <c r="D23" s="943">
        <f t="shared" si="0"/>
        <v>24000</v>
      </c>
      <c r="E23" s="943"/>
      <c r="F23" s="943"/>
      <c r="G23" s="943"/>
      <c r="H23" s="943"/>
      <c r="I23" s="943"/>
      <c r="J23" s="952"/>
      <c r="K23" s="983">
        <f t="shared" si="1"/>
        <v>24000</v>
      </c>
      <c r="L23" s="962"/>
      <c r="M23" s="962">
        <f>24000</f>
        <v>24000</v>
      </c>
      <c r="N23" s="962"/>
      <c r="O23" s="962"/>
      <c r="P23" s="962"/>
      <c r="Q23" s="962"/>
      <c r="R23" s="962"/>
      <c r="S23" s="962"/>
      <c r="T23" s="962"/>
      <c r="U23" s="969"/>
      <c r="V23" s="962"/>
    </row>
    <row r="24" spans="2:22" ht="15.75" x14ac:dyDescent="0.2">
      <c r="B24" s="941"/>
      <c r="C24" s="955" t="s">
        <v>819</v>
      </c>
      <c r="D24" s="943">
        <f t="shared" si="0"/>
        <v>0</v>
      </c>
      <c r="E24" s="943"/>
      <c r="F24" s="943"/>
      <c r="G24" s="943"/>
      <c r="H24" s="943"/>
      <c r="I24" s="943"/>
      <c r="J24" s="952"/>
      <c r="K24" s="983">
        <f t="shared" si="1"/>
        <v>0</v>
      </c>
      <c r="L24" s="962"/>
      <c r="M24" s="962"/>
      <c r="N24" s="962"/>
      <c r="O24" s="962"/>
      <c r="P24" s="962"/>
      <c r="Q24" s="962"/>
      <c r="R24" s="962"/>
      <c r="S24" s="962"/>
      <c r="T24" s="962"/>
      <c r="U24" s="969"/>
      <c r="V24" s="962"/>
    </row>
    <row r="25" spans="2:22" ht="15.75" x14ac:dyDescent="0.2">
      <c r="B25" s="941"/>
      <c r="C25" s="955" t="s">
        <v>810</v>
      </c>
      <c r="D25" s="943">
        <f t="shared" si="0"/>
        <v>5437300</v>
      </c>
      <c r="E25" s="943"/>
      <c r="F25" s="943"/>
      <c r="G25" s="943"/>
      <c r="H25" s="943"/>
      <c r="I25" s="943"/>
      <c r="J25" s="952"/>
      <c r="K25" s="983">
        <f t="shared" si="1"/>
        <v>5437300</v>
      </c>
      <c r="L25" s="962"/>
      <c r="M25" s="962">
        <v>287300</v>
      </c>
      <c r="N25" s="962">
        <v>5150000</v>
      </c>
      <c r="O25" s="962"/>
      <c r="P25" s="962"/>
      <c r="Q25" s="962"/>
      <c r="R25" s="962"/>
      <c r="S25" s="962"/>
      <c r="T25" s="962"/>
      <c r="U25" s="969"/>
      <c r="V25" s="962"/>
    </row>
    <row r="26" spans="2:22" ht="15.75" x14ac:dyDescent="0.2">
      <c r="B26" s="941"/>
      <c r="C26" s="955" t="s">
        <v>811</v>
      </c>
      <c r="D26" s="943">
        <f t="shared" si="0"/>
        <v>710779</v>
      </c>
      <c r="E26" s="943"/>
      <c r="F26" s="943"/>
      <c r="G26" s="943"/>
      <c r="H26" s="943"/>
      <c r="I26" s="943"/>
      <c r="J26" s="952"/>
      <c r="K26" s="983">
        <f t="shared" si="1"/>
        <v>710779</v>
      </c>
      <c r="L26" s="962"/>
      <c r="M26" s="962">
        <v>53299</v>
      </c>
      <c r="N26" s="962">
        <v>657480</v>
      </c>
      <c r="O26" s="962"/>
      <c r="P26" s="962"/>
      <c r="Q26" s="962"/>
      <c r="R26" s="962"/>
      <c r="S26" s="962"/>
      <c r="T26" s="962"/>
      <c r="U26" s="969"/>
      <c r="V26" s="962"/>
    </row>
    <row r="27" spans="2:22" ht="15.75" x14ac:dyDescent="0.2">
      <c r="B27" s="941"/>
      <c r="C27" s="955" t="s">
        <v>812</v>
      </c>
      <c r="D27" s="943">
        <f t="shared" si="0"/>
        <v>0</v>
      </c>
      <c r="E27" s="943"/>
      <c r="F27" s="943"/>
      <c r="G27" s="943"/>
      <c r="H27" s="943"/>
      <c r="I27" s="943"/>
      <c r="J27" s="952"/>
      <c r="K27" s="983">
        <f t="shared" si="1"/>
        <v>0</v>
      </c>
      <c r="L27" s="962"/>
      <c r="M27" s="962"/>
      <c r="N27" s="962"/>
      <c r="O27" s="962"/>
      <c r="P27" s="962"/>
      <c r="Q27" s="962"/>
      <c r="R27" s="962"/>
      <c r="S27" s="962"/>
      <c r="T27" s="962"/>
      <c r="U27" s="969"/>
      <c r="V27" s="962"/>
    </row>
    <row r="28" spans="2:22" ht="15.75" x14ac:dyDescent="0.2">
      <c r="B28" s="941"/>
      <c r="C28" s="955" t="s">
        <v>813</v>
      </c>
      <c r="D28" s="943">
        <f t="shared" si="0"/>
        <v>2182722</v>
      </c>
      <c r="E28" s="943"/>
      <c r="F28" s="943"/>
      <c r="G28" s="943"/>
      <c r="H28" s="943"/>
      <c r="I28" s="943"/>
      <c r="J28" s="952"/>
      <c r="K28" s="983">
        <f t="shared" si="1"/>
        <v>2182722</v>
      </c>
      <c r="L28" s="962"/>
      <c r="M28" s="962">
        <f>9593+106566</f>
        <v>116159</v>
      </c>
      <c r="N28" s="962">
        <v>2066563</v>
      </c>
      <c r="O28" s="962"/>
      <c r="P28" s="962"/>
      <c r="Q28" s="962"/>
      <c r="R28" s="962"/>
      <c r="S28" s="962"/>
      <c r="T28" s="962"/>
      <c r="U28" s="969"/>
      <c r="V28" s="962"/>
    </row>
    <row r="29" spans="2:22" ht="15.75" x14ac:dyDescent="0.2">
      <c r="B29" s="941"/>
      <c r="C29" s="955" t="s">
        <v>814</v>
      </c>
      <c r="D29" s="943">
        <f t="shared" si="0"/>
        <v>0</v>
      </c>
      <c r="E29" s="943"/>
      <c r="F29" s="943"/>
      <c r="G29" s="943"/>
      <c r="H29" s="943"/>
      <c r="I29" s="943"/>
      <c r="J29" s="952"/>
      <c r="K29" s="983">
        <f t="shared" si="1"/>
        <v>0</v>
      </c>
      <c r="L29" s="962"/>
      <c r="M29" s="962"/>
      <c r="N29" s="962"/>
      <c r="O29" s="962"/>
      <c r="P29" s="962"/>
      <c r="Q29" s="962"/>
      <c r="R29" s="962"/>
      <c r="S29" s="962"/>
      <c r="T29" s="962"/>
      <c r="U29" s="969"/>
      <c r="V29" s="962"/>
    </row>
    <row r="30" spans="2:22" ht="15.75" x14ac:dyDescent="0.2">
      <c r="B30" s="941"/>
      <c r="C30" s="955" t="s">
        <v>820</v>
      </c>
      <c r="D30" s="943">
        <f t="shared" si="0"/>
        <v>0</v>
      </c>
      <c r="E30" s="943"/>
      <c r="F30" s="943"/>
      <c r="G30" s="943"/>
      <c r="H30" s="943"/>
      <c r="I30" s="943"/>
      <c r="J30" s="952"/>
      <c r="K30" s="983">
        <f t="shared" si="1"/>
        <v>0</v>
      </c>
      <c r="L30" s="962"/>
      <c r="M30" s="962"/>
      <c r="N30" s="962"/>
      <c r="O30" s="962"/>
      <c r="P30" s="962"/>
      <c r="Q30" s="962"/>
      <c r="R30" s="962"/>
      <c r="S30" s="962"/>
      <c r="T30" s="962"/>
      <c r="U30" s="969"/>
      <c r="V30" s="962"/>
    </row>
    <row r="31" spans="2:22" ht="15.75" x14ac:dyDescent="0.2">
      <c r="B31" s="941"/>
      <c r="C31" s="955" t="s">
        <v>821</v>
      </c>
      <c r="D31" s="943">
        <f t="shared" si="0"/>
        <v>80000</v>
      </c>
      <c r="E31" s="943"/>
      <c r="F31" s="943"/>
      <c r="G31" s="943"/>
      <c r="H31" s="943"/>
      <c r="I31" s="943"/>
      <c r="J31" s="952"/>
      <c r="K31" s="983">
        <f t="shared" si="1"/>
        <v>80000</v>
      </c>
      <c r="L31" s="962"/>
      <c r="M31" s="962"/>
      <c r="N31" s="962">
        <v>80000</v>
      </c>
      <c r="O31" s="962"/>
      <c r="P31" s="962"/>
      <c r="Q31" s="962"/>
      <c r="R31" s="962"/>
      <c r="S31" s="962"/>
      <c r="T31" s="962"/>
      <c r="U31" s="969"/>
      <c r="V31" s="962"/>
    </row>
    <row r="32" spans="2:22" ht="15.75" x14ac:dyDescent="0.2">
      <c r="B32" s="941"/>
      <c r="C32" s="955" t="s">
        <v>815</v>
      </c>
      <c r="D32" s="943">
        <f t="shared" si="0"/>
        <v>78740</v>
      </c>
      <c r="E32" s="943"/>
      <c r="F32" s="943"/>
      <c r="G32" s="943"/>
      <c r="H32" s="943"/>
      <c r="I32" s="943"/>
      <c r="J32" s="952"/>
      <c r="K32" s="983">
        <f t="shared" si="1"/>
        <v>78740</v>
      </c>
      <c r="L32" s="962"/>
      <c r="M32" s="962"/>
      <c r="N32" s="962">
        <v>78740</v>
      </c>
      <c r="O32" s="962"/>
      <c r="P32" s="962"/>
      <c r="Q32" s="962"/>
      <c r="R32" s="962"/>
      <c r="S32" s="962"/>
      <c r="T32" s="962"/>
      <c r="U32" s="969"/>
      <c r="V32" s="962"/>
    </row>
    <row r="33" spans="2:22" ht="15.75" x14ac:dyDescent="0.2">
      <c r="B33" s="941"/>
      <c r="C33" s="947" t="s">
        <v>816</v>
      </c>
      <c r="D33" s="948">
        <f t="shared" ref="D33:K33" si="2">SUM(D13:D32)</f>
        <v>11004297.409448819</v>
      </c>
      <c r="E33" s="948">
        <f t="shared" si="2"/>
        <v>0</v>
      </c>
      <c r="F33" s="948">
        <f t="shared" si="2"/>
        <v>0</v>
      </c>
      <c r="G33" s="948">
        <f t="shared" si="2"/>
        <v>0</v>
      </c>
      <c r="H33" s="948">
        <f t="shared" si="2"/>
        <v>0</v>
      </c>
      <c r="I33" s="948">
        <f t="shared" si="2"/>
        <v>0</v>
      </c>
      <c r="J33" s="948">
        <f t="shared" si="2"/>
        <v>0</v>
      </c>
      <c r="K33" s="948">
        <f t="shared" si="2"/>
        <v>11004297.409448819</v>
      </c>
      <c r="L33" s="962"/>
      <c r="M33" s="962"/>
      <c r="N33" s="962"/>
      <c r="O33" s="962"/>
      <c r="P33" s="962"/>
      <c r="Q33" s="962"/>
      <c r="R33" s="962"/>
      <c r="S33" s="962"/>
      <c r="T33" s="962"/>
      <c r="U33" s="969"/>
      <c r="V33" s="962"/>
    </row>
    <row r="34" spans="2:22" x14ac:dyDescent="0.2">
      <c r="L34" s="962"/>
      <c r="M34" s="962"/>
      <c r="N34" s="962"/>
      <c r="O34" s="962"/>
      <c r="P34" s="962"/>
      <c r="Q34" s="962"/>
      <c r="R34" s="962"/>
      <c r="S34" s="962"/>
      <c r="T34" s="962"/>
      <c r="U34" s="969"/>
      <c r="V34" s="962"/>
    </row>
    <row r="35" spans="2:22" x14ac:dyDescent="0.2">
      <c r="L35" s="962"/>
      <c r="M35" s="962"/>
      <c r="N35" s="962"/>
      <c r="O35" s="962"/>
      <c r="P35" s="962"/>
      <c r="Q35" s="962"/>
      <c r="R35" s="962"/>
      <c r="S35" s="962"/>
      <c r="T35" s="962"/>
      <c r="U35" s="969"/>
      <c r="V35" s="962"/>
    </row>
    <row r="36" spans="2:22" x14ac:dyDescent="0.2">
      <c r="L36" s="962"/>
      <c r="M36" s="962"/>
      <c r="N36" s="962"/>
      <c r="O36" s="962"/>
      <c r="P36" s="962"/>
      <c r="Q36" s="962"/>
      <c r="R36" s="962"/>
      <c r="S36" s="962"/>
      <c r="T36" s="962"/>
      <c r="U36" s="972"/>
      <c r="V36" s="962"/>
    </row>
    <row r="37" spans="2:22" x14ac:dyDescent="0.2">
      <c r="B37" s="1165"/>
      <c r="C37" s="1166" t="s">
        <v>262</v>
      </c>
      <c r="D37" s="1165" t="s">
        <v>722</v>
      </c>
      <c r="E37" s="1165"/>
      <c r="F37" s="1165"/>
      <c r="G37" s="1165"/>
      <c r="H37" s="1165"/>
      <c r="I37" s="1165"/>
      <c r="J37" s="1165"/>
      <c r="K37" s="1165"/>
      <c r="L37" s="962"/>
      <c r="M37" s="962"/>
      <c r="N37" s="962"/>
      <c r="O37" s="962"/>
      <c r="P37" s="962"/>
      <c r="Q37" s="962"/>
      <c r="R37" s="962"/>
      <c r="S37" s="962"/>
      <c r="T37" s="962"/>
      <c r="U37" s="962"/>
      <c r="V37" s="962"/>
    </row>
    <row r="38" spans="2:22" x14ac:dyDescent="0.2">
      <c r="B38" s="1165"/>
      <c r="C38" s="1167"/>
      <c r="D38" s="1165" t="s">
        <v>824</v>
      </c>
      <c r="E38" s="1165"/>
      <c r="F38" s="1165"/>
      <c r="G38" s="1165"/>
      <c r="H38" s="1165"/>
      <c r="I38" s="1165"/>
      <c r="J38" s="1165"/>
      <c r="K38" s="1165"/>
      <c r="L38" s="962"/>
      <c r="M38" s="962"/>
      <c r="N38" s="962"/>
      <c r="O38" s="962"/>
      <c r="P38" s="962"/>
      <c r="Q38" s="962"/>
      <c r="R38" s="962"/>
      <c r="S38" s="962"/>
      <c r="T38" s="962"/>
      <c r="U38" s="962"/>
      <c r="V38" s="962"/>
    </row>
    <row r="39" spans="2:22" ht="60" customHeight="1" x14ac:dyDescent="0.25">
      <c r="B39" s="1165"/>
      <c r="C39" s="1168"/>
      <c r="D39" s="950" t="s">
        <v>781</v>
      </c>
      <c r="E39" s="951"/>
      <c r="F39" s="951"/>
      <c r="G39" s="951"/>
      <c r="H39" s="951"/>
      <c r="I39" s="951"/>
      <c r="J39" s="951"/>
      <c r="K39" s="951"/>
      <c r="L39" s="962"/>
      <c r="M39" s="962"/>
      <c r="N39" s="962"/>
      <c r="O39" s="962"/>
      <c r="P39" s="962"/>
      <c r="Q39" s="962"/>
      <c r="R39" s="962"/>
      <c r="S39" s="962"/>
      <c r="T39" s="962"/>
      <c r="U39" s="962"/>
      <c r="V39" s="962"/>
    </row>
    <row r="40" spans="2:22" ht="15.75" x14ac:dyDescent="0.2">
      <c r="B40" s="941"/>
      <c r="C40" s="955" t="s">
        <v>825</v>
      </c>
      <c r="D40" s="943">
        <f>SUM(E40:K40)</f>
        <v>0</v>
      </c>
      <c r="E40" s="943"/>
      <c r="F40" s="943"/>
      <c r="G40" s="943"/>
      <c r="H40" s="943"/>
      <c r="I40" s="943"/>
      <c r="J40" s="952"/>
      <c r="K40" s="983">
        <f t="shared" ref="K40:K45" si="3">N40</f>
        <v>0</v>
      </c>
      <c r="L40" s="962"/>
      <c r="M40" s="962"/>
      <c r="N40" s="962"/>
      <c r="O40" s="962"/>
      <c r="P40" s="962"/>
      <c r="Q40" s="962"/>
      <c r="R40" s="962"/>
      <c r="S40" s="962"/>
      <c r="T40" s="962"/>
      <c r="U40" s="962"/>
      <c r="V40" s="962"/>
    </row>
    <row r="41" spans="2:22" ht="15.75" x14ac:dyDescent="0.2">
      <c r="B41" s="941"/>
      <c r="C41" s="955" t="s">
        <v>826</v>
      </c>
      <c r="D41" s="943">
        <f t="shared" ref="D41:D51" si="4">SUM(E41:K41)</f>
        <v>0</v>
      </c>
      <c r="E41" s="943"/>
      <c r="F41" s="943"/>
      <c r="G41" s="943"/>
      <c r="H41" s="943"/>
      <c r="I41" s="943"/>
      <c r="J41" s="952"/>
      <c r="K41" s="983">
        <f t="shared" si="3"/>
        <v>0</v>
      </c>
      <c r="L41" s="962"/>
      <c r="M41" s="962"/>
      <c r="N41" s="962"/>
      <c r="O41" s="962"/>
      <c r="P41" s="962"/>
      <c r="Q41" s="962"/>
      <c r="R41" s="962"/>
      <c r="S41" s="962"/>
      <c r="T41" s="962"/>
      <c r="U41" s="962"/>
      <c r="V41" s="962"/>
    </row>
    <row r="42" spans="2:22" ht="15.75" x14ac:dyDescent="0.2">
      <c r="B42" s="941"/>
      <c r="C42" s="955" t="s">
        <v>828</v>
      </c>
      <c r="D42" s="943">
        <f t="shared" si="4"/>
        <v>78740</v>
      </c>
      <c r="E42" s="943"/>
      <c r="F42" s="943"/>
      <c r="G42" s="943"/>
      <c r="H42" s="943"/>
      <c r="I42" s="943"/>
      <c r="J42" s="952"/>
      <c r="K42" s="983">
        <f t="shared" si="3"/>
        <v>78740</v>
      </c>
      <c r="L42" s="962"/>
      <c r="M42" s="962"/>
      <c r="N42" s="962">
        <v>78740</v>
      </c>
      <c r="O42" s="962"/>
      <c r="P42" s="962"/>
      <c r="Q42" s="962"/>
      <c r="R42" s="962"/>
      <c r="S42" s="962"/>
      <c r="T42" s="962"/>
      <c r="U42" s="962"/>
      <c r="V42" s="962"/>
    </row>
    <row r="43" spans="2:22" ht="15.75" x14ac:dyDescent="0.2">
      <c r="B43" s="941"/>
      <c r="C43" s="955" t="s">
        <v>827</v>
      </c>
      <c r="D43" s="943">
        <f t="shared" si="4"/>
        <v>0</v>
      </c>
      <c r="E43" s="943"/>
      <c r="F43" s="943"/>
      <c r="G43" s="943"/>
      <c r="H43" s="943"/>
      <c r="I43" s="943"/>
      <c r="J43" s="952"/>
      <c r="K43" s="983">
        <f t="shared" si="3"/>
        <v>0</v>
      </c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</row>
    <row r="44" spans="2:22" ht="15.75" x14ac:dyDescent="0.2">
      <c r="B44" s="941"/>
      <c r="C44" s="955" t="s">
        <v>829</v>
      </c>
      <c r="D44" s="943">
        <f t="shared" si="4"/>
        <v>0</v>
      </c>
      <c r="E44" s="943"/>
      <c r="F44" s="943"/>
      <c r="G44" s="943"/>
      <c r="H44" s="943"/>
      <c r="I44" s="943"/>
      <c r="J44" s="952"/>
      <c r="K44" s="983">
        <f t="shared" si="3"/>
        <v>0</v>
      </c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</row>
    <row r="45" spans="2:22" ht="15.75" x14ac:dyDescent="0.2">
      <c r="B45" s="941"/>
      <c r="C45" s="955" t="s">
        <v>830</v>
      </c>
      <c r="D45" s="943">
        <f t="shared" si="4"/>
        <v>0</v>
      </c>
      <c r="E45" s="943"/>
      <c r="F45" s="943"/>
      <c r="G45" s="943"/>
      <c r="H45" s="943"/>
      <c r="I45" s="943"/>
      <c r="J45" s="952"/>
      <c r="K45" s="983">
        <f t="shared" si="3"/>
        <v>0</v>
      </c>
      <c r="L45" s="962"/>
      <c r="M45" s="962"/>
      <c r="N45" s="962"/>
      <c r="O45" s="962"/>
      <c r="P45" s="962"/>
      <c r="Q45" s="962"/>
      <c r="R45" s="962"/>
      <c r="S45" s="962"/>
      <c r="T45" s="962"/>
      <c r="U45" s="962"/>
      <c r="V45" s="962"/>
    </row>
    <row r="46" spans="2:22" ht="15.75" x14ac:dyDescent="0.2">
      <c r="B46" s="941"/>
      <c r="C46" s="955" t="s">
        <v>831</v>
      </c>
      <c r="D46" s="943">
        <f t="shared" si="4"/>
        <v>21260</v>
      </c>
      <c r="E46" s="943"/>
      <c r="F46" s="943"/>
      <c r="G46" s="943"/>
      <c r="H46" s="943"/>
      <c r="I46" s="943"/>
      <c r="J46" s="952"/>
      <c r="K46" s="983">
        <f>N46</f>
        <v>21260</v>
      </c>
      <c r="L46" s="962"/>
      <c r="M46" s="962"/>
      <c r="N46" s="962">
        <v>21260</v>
      </c>
      <c r="O46" s="962"/>
      <c r="P46" s="962"/>
      <c r="Q46" s="962"/>
      <c r="R46" s="962"/>
      <c r="S46" s="962"/>
      <c r="T46" s="962"/>
      <c r="U46" s="962"/>
      <c r="V46" s="962"/>
    </row>
    <row r="47" spans="2:22" s="958" customFormat="1" ht="15.75" x14ac:dyDescent="0.2">
      <c r="B47" s="956"/>
      <c r="C47" s="957" t="s">
        <v>823</v>
      </c>
      <c r="D47" s="948">
        <f>SUM(D40:D46)</f>
        <v>100000</v>
      </c>
      <c r="E47" s="948">
        <f t="shared" ref="E47:J47" si="5">SUM(E40:E46)</f>
        <v>0</v>
      </c>
      <c r="F47" s="948">
        <f t="shared" si="5"/>
        <v>0</v>
      </c>
      <c r="G47" s="948">
        <f t="shared" si="5"/>
        <v>0</v>
      </c>
      <c r="H47" s="948">
        <f t="shared" si="5"/>
        <v>0</v>
      </c>
      <c r="I47" s="948">
        <f t="shared" si="5"/>
        <v>0</v>
      </c>
      <c r="J47" s="948">
        <f t="shared" si="5"/>
        <v>0</v>
      </c>
      <c r="K47" s="948">
        <f>SUM(K40:K46)</f>
        <v>100000</v>
      </c>
      <c r="L47" s="963"/>
      <c r="M47" s="963"/>
      <c r="N47" s="963"/>
      <c r="O47" s="963"/>
      <c r="P47" s="963"/>
      <c r="Q47" s="963"/>
      <c r="R47" s="963"/>
      <c r="S47" s="963"/>
      <c r="T47" s="963"/>
      <c r="U47" s="963"/>
      <c r="V47" s="963"/>
    </row>
    <row r="48" spans="2:22" ht="15.75" x14ac:dyDescent="0.2">
      <c r="B48" s="941"/>
      <c r="C48" s="955" t="s">
        <v>832</v>
      </c>
      <c r="D48" s="943">
        <f t="shared" si="4"/>
        <v>0</v>
      </c>
      <c r="E48" s="943"/>
      <c r="F48" s="943"/>
      <c r="G48" s="943"/>
      <c r="H48" s="943"/>
      <c r="I48" s="943"/>
      <c r="J48" s="952"/>
      <c r="K48" s="952"/>
      <c r="L48" s="962"/>
      <c r="M48" s="962"/>
      <c r="N48" s="962"/>
      <c r="O48" s="962"/>
      <c r="P48" s="962"/>
      <c r="Q48" s="962"/>
      <c r="R48" s="962"/>
      <c r="S48" s="962"/>
      <c r="T48" s="962"/>
      <c r="U48" s="962"/>
      <c r="V48" s="962"/>
    </row>
    <row r="49" spans="2:22" ht="15.75" x14ac:dyDescent="0.2">
      <c r="B49" s="941"/>
      <c r="C49" s="955" t="s">
        <v>833</v>
      </c>
      <c r="D49" s="943">
        <f t="shared" si="4"/>
        <v>0</v>
      </c>
      <c r="E49" s="943"/>
      <c r="F49" s="943"/>
      <c r="G49" s="943"/>
      <c r="H49" s="943"/>
      <c r="I49" s="943"/>
      <c r="J49" s="952"/>
      <c r="K49" s="952"/>
      <c r="L49" s="962"/>
      <c r="M49" s="962"/>
      <c r="N49" s="962"/>
      <c r="O49" s="962"/>
      <c r="P49" s="962"/>
      <c r="Q49" s="962"/>
      <c r="R49" s="962"/>
      <c r="S49" s="962"/>
      <c r="T49" s="962"/>
      <c r="U49" s="962"/>
      <c r="V49" s="962"/>
    </row>
    <row r="50" spans="2:22" ht="15.75" x14ac:dyDescent="0.2">
      <c r="B50" s="941"/>
      <c r="C50" s="955" t="s">
        <v>834</v>
      </c>
      <c r="D50" s="943">
        <f t="shared" si="4"/>
        <v>0</v>
      </c>
      <c r="E50" s="943"/>
      <c r="F50" s="943"/>
      <c r="G50" s="943"/>
      <c r="H50" s="943"/>
      <c r="I50" s="943"/>
      <c r="J50" s="952"/>
      <c r="K50" s="952"/>
    </row>
    <row r="51" spans="2:22" ht="15.75" x14ac:dyDescent="0.2">
      <c r="B51" s="941"/>
      <c r="C51" s="955" t="s">
        <v>835</v>
      </c>
      <c r="D51" s="943">
        <f t="shared" si="4"/>
        <v>0</v>
      </c>
      <c r="E51" s="943"/>
      <c r="F51" s="943"/>
      <c r="G51" s="943"/>
      <c r="H51" s="943"/>
      <c r="I51" s="943"/>
      <c r="J51" s="952"/>
      <c r="K51" s="952"/>
    </row>
    <row r="52" spans="2:22" s="958" customFormat="1" ht="15.75" x14ac:dyDescent="0.2">
      <c r="B52" s="956"/>
      <c r="C52" s="957" t="s">
        <v>822</v>
      </c>
      <c r="D52" s="948">
        <f>SUM(D48:D51)</f>
        <v>0</v>
      </c>
      <c r="E52" s="948">
        <f t="shared" ref="E52:K52" si="6">SUM(E48:E51)</f>
        <v>0</v>
      </c>
      <c r="F52" s="948">
        <f t="shared" si="6"/>
        <v>0</v>
      </c>
      <c r="G52" s="948">
        <f t="shared" si="6"/>
        <v>0</v>
      </c>
      <c r="H52" s="948">
        <f t="shared" si="6"/>
        <v>0</v>
      </c>
      <c r="I52" s="948">
        <f t="shared" si="6"/>
        <v>0</v>
      </c>
      <c r="J52" s="948">
        <f t="shared" si="6"/>
        <v>0</v>
      </c>
      <c r="K52" s="948">
        <f t="shared" si="6"/>
        <v>0</v>
      </c>
    </row>
    <row r="53" spans="2:22" x14ac:dyDescent="0.2">
      <c r="D53" s="958"/>
    </row>
  </sheetData>
  <mergeCells count="8">
    <mergeCell ref="D10:K10"/>
    <mergeCell ref="D11:K11"/>
    <mergeCell ref="B37:B39"/>
    <mergeCell ref="C37:C39"/>
    <mergeCell ref="D37:K37"/>
    <mergeCell ref="D38:K38"/>
    <mergeCell ref="B10:B12"/>
    <mergeCell ref="C10:C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B81C-AB27-4677-BDB8-AC63A27D93EE}">
  <dimension ref="A1:K140"/>
  <sheetViews>
    <sheetView topLeftCell="A25" workbookViewId="0">
      <selection activeCell="B60" sqref="B60"/>
    </sheetView>
  </sheetViews>
  <sheetFormatPr defaultColWidth="9.33203125" defaultRowHeight="15.75" x14ac:dyDescent="0.25"/>
  <cols>
    <col min="1" max="1" width="6.33203125" style="87" customWidth="1"/>
    <col min="2" max="2" width="78.6640625" style="87" customWidth="1"/>
    <col min="3" max="3" width="11.1640625" style="87" customWidth="1"/>
    <col min="4" max="4" width="20.83203125" style="88" customWidth="1"/>
    <col min="5" max="5" width="16.1640625" style="1" customWidth="1"/>
    <col min="6" max="6" width="16.83203125" style="1" customWidth="1"/>
    <col min="7" max="7" width="9.33203125" style="1"/>
    <col min="8" max="9" width="13.33203125" style="1" bestFit="1" customWidth="1"/>
    <col min="10" max="10" width="14.6640625" style="1" bestFit="1" customWidth="1"/>
    <col min="11" max="11" width="14.33203125" style="1" bestFit="1" customWidth="1"/>
    <col min="12" max="16384" width="9.33203125" style="1"/>
  </cols>
  <sheetData>
    <row r="1" spans="1:6" ht="60" customHeight="1" x14ac:dyDescent="0.25">
      <c r="A1" s="1105" t="s">
        <v>721</v>
      </c>
      <c r="B1" s="1105"/>
      <c r="C1" s="1105"/>
      <c r="D1" s="1105"/>
      <c r="E1" s="1105"/>
      <c r="F1" s="1105"/>
    </row>
    <row r="2" spans="1:6" ht="15.95" customHeight="1" x14ac:dyDescent="0.25">
      <c r="A2" s="1104" t="s">
        <v>0</v>
      </c>
      <c r="B2" s="1104"/>
      <c r="C2" s="1104"/>
      <c r="D2" s="1104"/>
      <c r="E2" s="1104"/>
      <c r="F2" s="1104"/>
    </row>
    <row r="3" spans="1:6" ht="15.95" customHeight="1" x14ac:dyDescent="0.25">
      <c r="A3" s="1103"/>
      <c r="B3" s="1103"/>
      <c r="C3" s="1091"/>
      <c r="D3" s="2"/>
      <c r="E3" s="2"/>
      <c r="F3" s="2" t="s">
        <v>1</v>
      </c>
    </row>
    <row r="4" spans="1:6" ht="38.1" customHeight="1" x14ac:dyDescent="0.25">
      <c r="A4" s="3" t="s">
        <v>2</v>
      </c>
      <c r="B4" s="4" t="s">
        <v>3</v>
      </c>
      <c r="C4" s="4" t="s">
        <v>4</v>
      </c>
      <c r="D4" s="5" t="s">
        <v>722</v>
      </c>
      <c r="E4" s="247" t="s">
        <v>936</v>
      </c>
      <c r="F4" s="247" t="s">
        <v>937</v>
      </c>
    </row>
    <row r="5" spans="1:6" s="6" customFormat="1" ht="12" customHeight="1" x14ac:dyDescent="0.2">
      <c r="A5" s="3" t="s">
        <v>5</v>
      </c>
      <c r="B5" s="4" t="s">
        <v>6</v>
      </c>
      <c r="C5" s="4" t="s">
        <v>7</v>
      </c>
      <c r="D5" s="5" t="s">
        <v>8</v>
      </c>
      <c r="E5" s="790" t="s">
        <v>263</v>
      </c>
      <c r="F5" s="5" t="s">
        <v>422</v>
      </c>
    </row>
    <row r="6" spans="1:6" s="10" customFormat="1" ht="15.75" customHeight="1" x14ac:dyDescent="0.2">
      <c r="A6" s="7" t="s">
        <v>9</v>
      </c>
      <c r="B6" s="8" t="s">
        <v>10</v>
      </c>
      <c r="C6" s="9" t="s">
        <v>11</v>
      </c>
      <c r="D6" s="406">
        <f>'[21]9.sz.mell.'!D6</f>
        <v>76950960</v>
      </c>
      <c r="E6" s="406">
        <f>'[21]9.sz.mell.'!E6</f>
        <v>76950960</v>
      </c>
      <c r="F6" s="406">
        <f>'[21]9.sz.mell.'!F6</f>
        <v>40087678</v>
      </c>
    </row>
    <row r="7" spans="1:6" s="10" customFormat="1" ht="15.75" customHeight="1" x14ac:dyDescent="0.2">
      <c r="A7" s="11" t="s">
        <v>12</v>
      </c>
      <c r="B7" s="12" t="s">
        <v>13</v>
      </c>
      <c r="C7" s="13" t="s">
        <v>14</v>
      </c>
      <c r="D7" s="406">
        <f>'[21]9.sz.mell.'!D7</f>
        <v>51582233.333333336</v>
      </c>
      <c r="E7" s="406">
        <f>'[21]9.sz.mell.'!E7</f>
        <v>52124351.333333299</v>
      </c>
      <c r="F7" s="406">
        <f>'[21]9.sz.mell.'!F7</f>
        <v>26639566</v>
      </c>
    </row>
    <row r="8" spans="1:6" s="10" customFormat="1" ht="24" customHeight="1" x14ac:dyDescent="0.2">
      <c r="A8" s="11" t="s">
        <v>15</v>
      </c>
      <c r="B8" s="12" t="s">
        <v>16</v>
      </c>
      <c r="C8" s="13" t="s">
        <v>17</v>
      </c>
      <c r="D8" s="406">
        <f>'[21]9.sz.mell.'!D8</f>
        <v>55117300</v>
      </c>
      <c r="E8" s="406">
        <f>'[21]9.sz.mell.'!E8</f>
        <v>53961340</v>
      </c>
      <c r="F8" s="406">
        <f>'[21]9.sz.mell.'!F8</f>
        <v>29698327</v>
      </c>
    </row>
    <row r="9" spans="1:6" s="10" customFormat="1" ht="15.75" customHeight="1" x14ac:dyDescent="0.2">
      <c r="A9" s="11" t="s">
        <v>18</v>
      </c>
      <c r="B9" s="12" t="s">
        <v>19</v>
      </c>
      <c r="C9" s="13" t="s">
        <v>20</v>
      </c>
      <c r="D9" s="406">
        <f>'[21]9.sz.mell.'!D9</f>
        <v>2720080</v>
      </c>
      <c r="E9" s="406">
        <f>'[21]9.sz.mell.'!E9</f>
        <v>2720080</v>
      </c>
      <c r="F9" s="406">
        <f>'[21]9.sz.mell.'!F9</f>
        <v>1902264</v>
      </c>
    </row>
    <row r="10" spans="1:6" s="10" customFormat="1" ht="15.75" customHeight="1" x14ac:dyDescent="0.2">
      <c r="A10" s="7" t="s">
        <v>21</v>
      </c>
      <c r="B10" s="12" t="s">
        <v>22</v>
      </c>
      <c r="C10" s="13" t="s">
        <v>23</v>
      </c>
      <c r="D10" s="406">
        <f>'[21]9.sz.mell.'!D10</f>
        <v>0</v>
      </c>
      <c r="E10" s="406">
        <f>'[21]9.sz.mell.'!E10</f>
        <v>3289776</v>
      </c>
      <c r="F10" s="406">
        <f>'[21]9.sz.mell.'!F10</f>
        <v>1289776</v>
      </c>
    </row>
    <row r="11" spans="1:6" s="10" customFormat="1" ht="15.75" customHeight="1" x14ac:dyDescent="0.2">
      <c r="A11" s="11" t="s">
        <v>24</v>
      </c>
      <c r="B11" s="12" t="s">
        <v>25</v>
      </c>
      <c r="C11" s="13" t="s">
        <v>26</v>
      </c>
      <c r="D11" s="406">
        <f>'[21]9.sz.mell.'!D11</f>
        <v>0</v>
      </c>
      <c r="E11" s="406">
        <f>'[21]9.sz.mell.'!E11</f>
        <v>0</v>
      </c>
      <c r="F11" s="406">
        <f>'[21]9.sz.mell.'!F11</f>
        <v>0</v>
      </c>
    </row>
    <row r="12" spans="1:6" s="10" customFormat="1" ht="15.75" customHeight="1" x14ac:dyDescent="0.2">
      <c r="A12" s="14" t="s">
        <v>27</v>
      </c>
      <c r="B12" s="15" t="s">
        <v>28</v>
      </c>
      <c r="C12" s="16" t="s">
        <v>29</v>
      </c>
      <c r="D12" s="608">
        <f>+D6+D7+D8+D9+D10+D11</f>
        <v>186370573.33333334</v>
      </c>
      <c r="E12" s="608">
        <f t="shared" ref="E12:F12" si="0">+E6+E7+E8+E9+E10+E11</f>
        <v>189046507.33333331</v>
      </c>
      <c r="F12" s="608">
        <f t="shared" si="0"/>
        <v>99617611</v>
      </c>
    </row>
    <row r="13" spans="1:6" s="10" customFormat="1" ht="15.75" customHeight="1" x14ac:dyDescent="0.2">
      <c r="A13" s="11" t="s">
        <v>30</v>
      </c>
      <c r="B13" s="12" t="s">
        <v>31</v>
      </c>
      <c r="C13" s="13" t="s">
        <v>32</v>
      </c>
      <c r="D13" s="409">
        <f>'[21]9.sz.mell.'!D13</f>
        <v>0</v>
      </c>
      <c r="E13" s="409">
        <f>'[21]9.sz.mell.'!E13</f>
        <v>0</v>
      </c>
      <c r="F13" s="409">
        <f>'[21]9.sz.mell.'!F13</f>
        <v>0</v>
      </c>
    </row>
    <row r="14" spans="1:6" s="10" customFormat="1" ht="15.75" customHeight="1" x14ac:dyDescent="0.2">
      <c r="A14" s="7" t="s">
        <v>33</v>
      </c>
      <c r="B14" s="12" t="s">
        <v>34</v>
      </c>
      <c r="C14" s="13" t="s">
        <v>35</v>
      </c>
      <c r="D14" s="409">
        <f>SUM(D15:D21)</f>
        <v>156828115</v>
      </c>
      <c r="E14" s="409">
        <f t="shared" ref="E14" si="1">SUM(E15:E21)</f>
        <v>158893725</v>
      </c>
      <c r="F14" s="448">
        <f>'[21]9.sz.mell.'!F14+'[21]10.sz.mell'!F10+'[21]11.sz.mell'!F10+'[21]12.sz.mell'!F10</f>
        <v>98351772</v>
      </c>
    </row>
    <row r="15" spans="1:6" s="10" customFormat="1" ht="24" customHeight="1" x14ac:dyDescent="0.2">
      <c r="A15" s="11" t="s">
        <v>36</v>
      </c>
      <c r="B15" s="17" t="s">
        <v>37</v>
      </c>
      <c r="C15" s="13" t="s">
        <v>35</v>
      </c>
      <c r="D15" s="609">
        <f>'[21]9.sz.mell.'!D15+'[21]10.sz.mell'!D6+'[21]11.sz.mell'!D6+'[21]12.sz.mell'!D6</f>
        <v>1380000</v>
      </c>
      <c r="E15" s="609">
        <f>'[21]9.sz.mell.'!E15+'[21]11.sz.mell'!E6+'[21]12.sz.mell'!E6+'[21]10.sz.mell'!E6</f>
        <v>2699280</v>
      </c>
      <c r="F15" s="609"/>
    </row>
    <row r="16" spans="1:6" s="10" customFormat="1" ht="18.75" customHeight="1" x14ac:dyDescent="0.2">
      <c r="A16" s="11" t="s">
        <v>38</v>
      </c>
      <c r="B16" s="18" t="s">
        <v>39</v>
      </c>
      <c r="C16" s="13" t="s">
        <v>35</v>
      </c>
      <c r="D16" s="609">
        <f>'[21]9.sz.mell.'!D16</f>
        <v>0</v>
      </c>
      <c r="E16" s="609">
        <f>'[21]9.sz.mell.'!E16</f>
        <v>0</v>
      </c>
      <c r="F16" s="609">
        <f>'[21]9.sz.mell.'!F16</f>
        <v>0</v>
      </c>
    </row>
    <row r="17" spans="1:6" s="10" customFormat="1" ht="15.75" customHeight="1" x14ac:dyDescent="0.2">
      <c r="A17" s="7" t="s">
        <v>40</v>
      </c>
      <c r="B17" s="18" t="s">
        <v>41</v>
      </c>
      <c r="C17" s="13" t="s">
        <v>35</v>
      </c>
      <c r="D17" s="609">
        <f>'[21]9.sz.mell.'!D17</f>
        <v>0</v>
      </c>
      <c r="E17" s="609">
        <f>'[21]9.sz.mell.'!E17</f>
        <v>0</v>
      </c>
      <c r="F17" s="609">
        <f>'[21]9.sz.mell.'!F17</f>
        <v>0</v>
      </c>
    </row>
    <row r="18" spans="1:6" s="10" customFormat="1" ht="19.5" customHeight="1" x14ac:dyDescent="0.2">
      <c r="A18" s="11" t="s">
        <v>42</v>
      </c>
      <c r="B18" s="18" t="s">
        <v>43</v>
      </c>
      <c r="C18" s="13" t="s">
        <v>35</v>
      </c>
      <c r="D18" s="609">
        <f>'[21]9.sz.mell.'!D18</f>
        <v>3211000</v>
      </c>
      <c r="E18" s="609">
        <f>'[21]9.sz.mell.'!E18</f>
        <v>3211000</v>
      </c>
      <c r="F18" s="609">
        <f>'[21]9.sz.mell.'!F18</f>
        <v>0</v>
      </c>
    </row>
    <row r="19" spans="1:6" s="10" customFormat="1" ht="19.5" customHeight="1" x14ac:dyDescent="0.2">
      <c r="A19" s="11" t="s">
        <v>44</v>
      </c>
      <c r="B19" s="18" t="s">
        <v>45</v>
      </c>
      <c r="C19" s="13" t="s">
        <v>35</v>
      </c>
      <c r="D19" s="609">
        <f>'[21]9.sz.mell.'!D19</f>
        <v>5154000</v>
      </c>
      <c r="E19" s="609">
        <f>'[21]9.sz.mell.'!E19</f>
        <v>5154000</v>
      </c>
      <c r="F19" s="609">
        <f>'[21]9.sz.mell.'!F19</f>
        <v>0</v>
      </c>
    </row>
    <row r="20" spans="1:6" s="10" customFormat="1" ht="24" customHeight="1" x14ac:dyDescent="0.2">
      <c r="A20" s="7" t="s">
        <v>46</v>
      </c>
      <c r="B20" s="18" t="s">
        <v>47</v>
      </c>
      <c r="C20" s="13" t="s">
        <v>35</v>
      </c>
      <c r="D20" s="609">
        <f>'[21]9.sz.mell.'!D20+'[21]11.sz.mell'!D8</f>
        <v>147083115</v>
      </c>
      <c r="E20" s="609">
        <f>'[21]9.sz.mell.'!E20</f>
        <v>147083115</v>
      </c>
      <c r="F20" s="609">
        <f>'[21]9.sz.mell.'!F20</f>
        <v>0</v>
      </c>
    </row>
    <row r="21" spans="1:6" s="10" customFormat="1" ht="24.75" customHeight="1" x14ac:dyDescent="0.2">
      <c r="A21" s="19" t="s">
        <v>48</v>
      </c>
      <c r="B21" s="18" t="s">
        <v>49</v>
      </c>
      <c r="C21" s="20" t="s">
        <v>35</v>
      </c>
      <c r="D21" s="609">
        <f>'[21]9.sz.mell.'!D21</f>
        <v>0</v>
      </c>
      <c r="E21" s="609">
        <f>'[21]9.sz.mell.'!E21+'[21]10.sz.mell'!E9+'[21]11.sz.mell'!E9+'[21]12.sz.mell'!E9</f>
        <v>746330</v>
      </c>
      <c r="F21" s="609"/>
    </row>
    <row r="22" spans="1:6" s="10" customFormat="1" ht="18" customHeight="1" x14ac:dyDescent="0.2">
      <c r="A22" s="21" t="s">
        <v>50</v>
      </c>
      <c r="B22" s="22" t="s">
        <v>51</v>
      </c>
      <c r="C22" s="23" t="s">
        <v>52</v>
      </c>
      <c r="D22" s="451">
        <f>SUM(D12+D13+D14)</f>
        <v>343198688.33333337</v>
      </c>
      <c r="E22" s="451">
        <f t="shared" ref="E22:F22" si="2">SUM(E12+E13+E14)</f>
        <v>347940232.33333331</v>
      </c>
      <c r="F22" s="451">
        <f t="shared" si="2"/>
        <v>197969383</v>
      </c>
    </row>
    <row r="23" spans="1:6" s="10" customFormat="1" ht="15.75" customHeight="1" x14ac:dyDescent="0.2">
      <c r="A23" s="7" t="s">
        <v>53</v>
      </c>
      <c r="B23" s="24" t="s">
        <v>54</v>
      </c>
      <c r="C23" s="9" t="s">
        <v>55</v>
      </c>
      <c r="D23" s="406"/>
      <c r="E23" s="406">
        <f>'[21]9.sz.mell.'!E23</f>
        <v>8368284</v>
      </c>
      <c r="F23" s="406">
        <f>'[21]9.sz.mell.'!F23</f>
        <v>8368284</v>
      </c>
    </row>
    <row r="24" spans="1:6" s="10" customFormat="1" ht="15.75" customHeight="1" x14ac:dyDescent="0.2">
      <c r="A24" s="11" t="s">
        <v>56</v>
      </c>
      <c r="B24" s="25" t="s">
        <v>57</v>
      </c>
      <c r="C24" s="13" t="s">
        <v>58</v>
      </c>
      <c r="D24" s="409">
        <f>SUM(D25:D30)</f>
        <v>122998649</v>
      </c>
      <c r="E24" s="409">
        <f t="shared" ref="E24:F24" si="3">SUM(E25:E30)</f>
        <v>114630365</v>
      </c>
      <c r="F24" s="409">
        <f t="shared" si="3"/>
        <v>17327978</v>
      </c>
    </row>
    <row r="25" spans="1:6" s="10" customFormat="1" ht="15.75" customHeight="1" x14ac:dyDescent="0.2">
      <c r="A25" s="11" t="s">
        <v>59</v>
      </c>
      <c r="B25" s="17" t="s">
        <v>60</v>
      </c>
      <c r="C25" s="13" t="s">
        <v>58</v>
      </c>
      <c r="D25" s="409">
        <f>'[21]9.sz.mell.'!D25</f>
        <v>8368284</v>
      </c>
      <c r="E25" s="409">
        <f>'[21]9.sz.mell.'!E25</f>
        <v>0</v>
      </c>
      <c r="F25" s="409">
        <f>'[21]9.sz.mell.'!F25</f>
        <v>0</v>
      </c>
    </row>
    <row r="26" spans="1:6" s="10" customFormat="1" ht="18.75" customHeight="1" x14ac:dyDescent="0.2">
      <c r="A26" s="7" t="s">
        <v>61</v>
      </c>
      <c r="B26" s="26" t="s">
        <v>62</v>
      </c>
      <c r="C26" s="13" t="s">
        <v>58</v>
      </c>
      <c r="D26" s="409">
        <f>'[21]9.sz.mell.'!D26</f>
        <v>114630365</v>
      </c>
      <c r="E26" s="409">
        <f>'[21]9.sz.mell.'!E26+'[21]10.sz.mell'!E15+'[21]11.sz.mell'!E15+'[21]12.sz.mell'!E15</f>
        <v>114630365</v>
      </c>
      <c r="F26" s="409">
        <f>'[21]9.sz.mell.'!F26+'[21]10.sz.mell'!F15+'[21]11.sz.mell'!F15+'[21]12.sz.mell'!F15</f>
        <v>17327978</v>
      </c>
    </row>
    <row r="27" spans="1:6" s="10" customFormat="1" ht="15.75" customHeight="1" x14ac:dyDescent="0.2">
      <c r="A27" s="11" t="s">
        <v>63</v>
      </c>
      <c r="B27" s="26" t="s">
        <v>64</v>
      </c>
      <c r="C27" s="13" t="s">
        <v>58</v>
      </c>
      <c r="D27" s="409">
        <f>'[21]9.sz.mell.'!D27</f>
        <v>0</v>
      </c>
      <c r="E27" s="409">
        <f>'[21]9.sz.mell.'!E27</f>
        <v>0</v>
      </c>
      <c r="F27" s="409">
        <f>'[21]9.sz.mell.'!F27</f>
        <v>0</v>
      </c>
    </row>
    <row r="28" spans="1:6" s="10" customFormat="1" ht="15.75" customHeight="1" x14ac:dyDescent="0.2">
      <c r="A28" s="11" t="s">
        <v>65</v>
      </c>
      <c r="B28" s="26" t="s">
        <v>66</v>
      </c>
      <c r="C28" s="13" t="s">
        <v>58</v>
      </c>
      <c r="D28" s="409">
        <f>'[21]9.sz.mell.'!D28</f>
        <v>0</v>
      </c>
      <c r="E28" s="409">
        <f>'[21]9.sz.mell.'!E28</f>
        <v>0</v>
      </c>
      <c r="F28" s="409">
        <f>'[21]9.sz.mell.'!F28</f>
        <v>0</v>
      </c>
    </row>
    <row r="29" spans="1:6" s="10" customFormat="1" ht="24.75" customHeight="1" x14ac:dyDescent="0.2">
      <c r="A29" s="7" t="s">
        <v>67</v>
      </c>
      <c r="B29" s="26" t="s">
        <v>68</v>
      </c>
      <c r="C29" s="13" t="s">
        <v>58</v>
      </c>
      <c r="D29" s="409">
        <f>'[21]9.sz.mell.'!D29</f>
        <v>0</v>
      </c>
      <c r="E29" s="409">
        <f>'[21]9.sz.mell.'!E29</f>
        <v>0</v>
      </c>
      <c r="F29" s="409">
        <f>'[21]9.sz.mell.'!F29</f>
        <v>0</v>
      </c>
    </row>
    <row r="30" spans="1:6" s="10" customFormat="1" ht="24" customHeight="1" x14ac:dyDescent="0.2">
      <c r="A30" s="19" t="s">
        <v>69</v>
      </c>
      <c r="B30" s="27" t="s">
        <v>70</v>
      </c>
      <c r="C30" s="20" t="s">
        <v>58</v>
      </c>
      <c r="D30" s="409">
        <f>'[21]9.sz.mell.'!D30</f>
        <v>0</v>
      </c>
      <c r="E30" s="409">
        <f>'[21]9.sz.mell.'!E30</f>
        <v>0</v>
      </c>
      <c r="F30" s="409">
        <f>'[21]9.sz.mell.'!F30</f>
        <v>0</v>
      </c>
    </row>
    <row r="31" spans="1:6" s="10" customFormat="1" ht="22.5" customHeight="1" x14ac:dyDescent="0.2">
      <c r="A31" s="28" t="s">
        <v>71</v>
      </c>
      <c r="B31" s="29" t="s">
        <v>72</v>
      </c>
      <c r="C31" s="30" t="s">
        <v>73</v>
      </c>
      <c r="D31" s="415">
        <f>SUM(D23+D24)</f>
        <v>122998649</v>
      </c>
      <c r="E31" s="415">
        <f t="shared" ref="E31:F31" si="4">SUM(E23+E24)</f>
        <v>122998649</v>
      </c>
      <c r="F31" s="415">
        <f t="shared" si="4"/>
        <v>25696262</v>
      </c>
    </row>
    <row r="32" spans="1:6" s="10" customFormat="1" ht="14.25" customHeight="1" x14ac:dyDescent="0.2">
      <c r="A32" s="31" t="s">
        <v>74</v>
      </c>
      <c r="B32" s="32" t="s">
        <v>75</v>
      </c>
      <c r="C32" s="33" t="s">
        <v>76</v>
      </c>
      <c r="D32" s="442">
        <f>'[21]9.sz.mell.'!D32</f>
        <v>0</v>
      </c>
      <c r="E32" s="442">
        <f>'[21]9.sz.mell.'!E32</f>
        <v>0</v>
      </c>
      <c r="F32" s="442">
        <f>'[21]9.sz.mell.'!F32</f>
        <v>0</v>
      </c>
    </row>
    <row r="33" spans="1:6" s="10" customFormat="1" ht="14.25" customHeight="1" x14ac:dyDescent="0.2">
      <c r="A33" s="11" t="s">
        <v>77</v>
      </c>
      <c r="B33" s="12" t="s">
        <v>78</v>
      </c>
      <c r="C33" s="13" t="s">
        <v>79</v>
      </c>
      <c r="D33" s="409">
        <f>SUM(D34:D36)</f>
        <v>5500000</v>
      </c>
      <c r="E33" s="409">
        <f t="shared" ref="E33:F33" si="5">SUM(E34:E36)</f>
        <v>5500000</v>
      </c>
      <c r="F33" s="409">
        <f t="shared" si="5"/>
        <v>2215821</v>
      </c>
    </row>
    <row r="34" spans="1:6" s="10" customFormat="1" ht="14.25" customHeight="1" x14ac:dyDescent="0.2">
      <c r="A34" s="11" t="s">
        <v>80</v>
      </c>
      <c r="B34" s="34" t="s">
        <v>81</v>
      </c>
      <c r="C34" s="35" t="s">
        <v>79</v>
      </c>
      <c r="D34" s="441">
        <f>'[21]9.sz.mell.'!D34</f>
        <v>0</v>
      </c>
      <c r="E34" s="441">
        <f>'[21]9.sz.mell.'!E34</f>
        <v>0</v>
      </c>
      <c r="F34" s="441">
        <f>'[21]9.sz.mell.'!F34</f>
        <v>0</v>
      </c>
    </row>
    <row r="35" spans="1:6" s="10" customFormat="1" ht="14.25" customHeight="1" x14ac:dyDescent="0.2">
      <c r="A35" s="7" t="s">
        <v>82</v>
      </c>
      <c r="B35" s="36" t="s">
        <v>83</v>
      </c>
      <c r="C35" s="35" t="s">
        <v>79</v>
      </c>
      <c r="D35" s="441">
        <f>'[21]9.sz.mell.'!D35</f>
        <v>0</v>
      </c>
      <c r="E35" s="441">
        <f>'[21]9.sz.mell.'!E35</f>
        <v>0</v>
      </c>
      <c r="F35" s="441">
        <f>'[21]9.sz.mell.'!F35</f>
        <v>0</v>
      </c>
    </row>
    <row r="36" spans="1:6" s="10" customFormat="1" ht="14.25" customHeight="1" x14ac:dyDescent="0.2">
      <c r="A36" s="7" t="s">
        <v>84</v>
      </c>
      <c r="B36" s="36" t="s">
        <v>85</v>
      </c>
      <c r="C36" s="35" t="s">
        <v>79</v>
      </c>
      <c r="D36" s="441">
        <f>'[21]9.sz.mell.'!D36</f>
        <v>5500000</v>
      </c>
      <c r="E36" s="441">
        <f>'[21]9.sz.mell.'!E36</f>
        <v>5500000</v>
      </c>
      <c r="F36" s="441">
        <f>'[21]9.sz.mell.'!F36</f>
        <v>2215821</v>
      </c>
    </row>
    <row r="37" spans="1:6" s="10" customFormat="1" ht="14.25" customHeight="1" x14ac:dyDescent="0.2">
      <c r="A37" s="11" t="s">
        <v>86</v>
      </c>
      <c r="B37" s="37" t="s">
        <v>87</v>
      </c>
      <c r="C37" s="13" t="s">
        <v>88</v>
      </c>
      <c r="D37" s="409">
        <f>SUM(D38:D39)</f>
        <v>19500000</v>
      </c>
      <c r="E37" s="409">
        <f t="shared" ref="E37:F37" si="6">SUM(E38:E39)</f>
        <v>19500000</v>
      </c>
      <c r="F37" s="409">
        <f t="shared" si="6"/>
        <v>13938899</v>
      </c>
    </row>
    <row r="38" spans="1:6" s="10" customFormat="1" ht="14.25" customHeight="1" x14ac:dyDescent="0.2">
      <c r="A38" s="11" t="s">
        <v>89</v>
      </c>
      <c r="B38" s="38" t="s">
        <v>90</v>
      </c>
      <c r="C38" s="35" t="s">
        <v>88</v>
      </c>
      <c r="D38" s="441">
        <f>'[21]9.sz.mell.'!D38</f>
        <v>19500000</v>
      </c>
      <c r="E38" s="441">
        <f>'[21]9.sz.mell.'!E38</f>
        <v>19500000</v>
      </c>
      <c r="F38" s="441">
        <f>'[21]9.sz.mell.'!F38</f>
        <v>13938899</v>
      </c>
    </row>
    <row r="39" spans="1:6" s="10" customFormat="1" ht="14.25" customHeight="1" x14ac:dyDescent="0.2">
      <c r="A39" s="7" t="s">
        <v>91</v>
      </c>
      <c r="B39" s="38" t="s">
        <v>92</v>
      </c>
      <c r="C39" s="35" t="s">
        <v>88</v>
      </c>
      <c r="D39" s="441">
        <f>'[21]9.sz.mell.'!D39</f>
        <v>0</v>
      </c>
      <c r="E39" s="441">
        <f>'[21]9.sz.mell.'!E39</f>
        <v>0</v>
      </c>
      <c r="F39" s="441">
        <f>'[21]9.sz.mell.'!F39</f>
        <v>0</v>
      </c>
    </row>
    <row r="40" spans="1:6" s="10" customFormat="1" ht="17.25" customHeight="1" x14ac:dyDescent="0.2">
      <c r="A40" s="7" t="s">
        <v>93</v>
      </c>
      <c r="B40" s="39" t="s">
        <v>94</v>
      </c>
      <c r="C40" s="13" t="s">
        <v>95</v>
      </c>
      <c r="D40" s="409">
        <f>'[21]9.sz.mell.'!D40</f>
        <v>3500000</v>
      </c>
      <c r="E40" s="409">
        <f>'[21]9.sz.mell.'!E40</f>
        <v>3500000</v>
      </c>
      <c r="F40" s="409">
        <f>'[21]9.sz.mell.'!F40</f>
        <v>1818740</v>
      </c>
    </row>
    <row r="41" spans="1:6" s="10" customFormat="1" ht="17.25" customHeight="1" x14ac:dyDescent="0.2">
      <c r="A41" s="11" t="s">
        <v>96</v>
      </c>
      <c r="B41" s="37" t="s">
        <v>100</v>
      </c>
      <c r="C41" s="13" t="s">
        <v>101</v>
      </c>
      <c r="D41" s="409">
        <f>SUM(D42:D43)</f>
        <v>2760000</v>
      </c>
      <c r="E41" s="409">
        <f t="shared" ref="E41:F41" si="7">SUM(E42:E43)</f>
        <v>2760000</v>
      </c>
      <c r="F41" s="409">
        <f t="shared" si="7"/>
        <v>695779</v>
      </c>
    </row>
    <row r="42" spans="1:6" s="10" customFormat="1" ht="14.25" customHeight="1" x14ac:dyDescent="0.2">
      <c r="A42" s="11" t="s">
        <v>97</v>
      </c>
      <c r="B42" s="38" t="s">
        <v>843</v>
      </c>
      <c r="C42" s="35" t="s">
        <v>845</v>
      </c>
      <c r="D42" s="409">
        <f>'[21]9.sz.mell.'!D42</f>
        <v>160000</v>
      </c>
      <c r="E42" s="409">
        <f>'[21]9.sz.mell.'!E42</f>
        <v>160000</v>
      </c>
      <c r="F42" s="409">
        <f>'[21]9.sz.mell.'!F42</f>
        <v>0</v>
      </c>
    </row>
    <row r="43" spans="1:6" s="10" customFormat="1" ht="14.25" customHeight="1" x14ac:dyDescent="0.2">
      <c r="A43" s="7" t="s">
        <v>98</v>
      </c>
      <c r="B43" s="38" t="s">
        <v>844</v>
      </c>
      <c r="C43" s="35" t="s">
        <v>845</v>
      </c>
      <c r="D43" s="409">
        <f>'[21]9.sz.mell.'!D43</f>
        <v>2600000</v>
      </c>
      <c r="E43" s="409">
        <f>'[21]9.sz.mell.'!E43</f>
        <v>2600000</v>
      </c>
      <c r="F43" s="409">
        <f>'[21]9.sz.mell.'!F43</f>
        <v>695779</v>
      </c>
    </row>
    <row r="44" spans="1:6" s="10" customFormat="1" ht="14.25" customHeight="1" x14ac:dyDescent="0.2">
      <c r="A44" s="40" t="s">
        <v>99</v>
      </c>
      <c r="B44" s="41" t="s">
        <v>846</v>
      </c>
      <c r="C44" s="42" t="s">
        <v>847</v>
      </c>
      <c r="D44" s="409">
        <f>'[21]9.sz.mell.'!D44</f>
        <v>0</v>
      </c>
      <c r="E44" s="409">
        <f>'[21]9.sz.mell.'!E44</f>
        <v>0</v>
      </c>
      <c r="F44" s="409">
        <f>'[21]9.sz.mell.'!F44</f>
        <v>0</v>
      </c>
    </row>
    <row r="45" spans="1:6" s="10" customFormat="1" ht="17.25" customHeight="1" x14ac:dyDescent="0.2">
      <c r="A45" s="28" t="s">
        <v>102</v>
      </c>
      <c r="B45" s="29" t="s">
        <v>103</v>
      </c>
      <c r="C45" s="30" t="s">
        <v>104</v>
      </c>
      <c r="D45" s="415">
        <f>SUM(D32+D33+D37+D40+D41+D44)</f>
        <v>31260000</v>
      </c>
      <c r="E45" s="415">
        <f t="shared" ref="E45:F45" si="8">SUM(E32+E33+E37+E40+E41+E44)</f>
        <v>31260000</v>
      </c>
      <c r="F45" s="415">
        <f t="shared" si="8"/>
        <v>18669239</v>
      </c>
    </row>
    <row r="46" spans="1:6" s="10" customFormat="1" ht="14.25" customHeight="1" x14ac:dyDescent="0.2">
      <c r="A46" s="31" t="s">
        <v>105</v>
      </c>
      <c r="B46" s="43" t="s">
        <v>106</v>
      </c>
      <c r="C46" s="44" t="s">
        <v>107</v>
      </c>
      <c r="D46" s="447">
        <f>'[21]9.sz.mell.'!D46+'[21]11.sz.mell'!D16+'[21]10.sz.mell'!D16+'[21]12.sz.mell'!D16</f>
        <v>11323866</v>
      </c>
      <c r="E46" s="447">
        <f>'[21]9.sz.mell.'!E46+'[21]11.sz.mell'!E16+'[21]10.sz.mell'!E16+'[21]12.sz.mell'!E16</f>
        <v>11326666</v>
      </c>
      <c r="F46" s="447">
        <f>'[21]9.sz.mell.'!F46+'[21]11.sz.mell'!F16+'[21]10.sz.mell'!F16+'[21]12.sz.mell'!F16</f>
        <v>2375275</v>
      </c>
    </row>
    <row r="47" spans="1:6" s="10" customFormat="1" ht="14.25" customHeight="1" x14ac:dyDescent="0.2">
      <c r="A47" s="11" t="s">
        <v>108</v>
      </c>
      <c r="B47" s="25" t="s">
        <v>109</v>
      </c>
      <c r="C47" s="45" t="s">
        <v>110</v>
      </c>
      <c r="D47" s="447">
        <f>'[21]9.sz.mell.'!D47+'[21]11.sz.mell'!D17+'[21]10.sz.mell'!D17+'[21]12.sz.mell'!D17</f>
        <v>11428736</v>
      </c>
      <c r="E47" s="447">
        <f>'[21]9.sz.mell.'!E47+'[21]11.sz.mell'!E17+'[21]10.sz.mell'!E17+'[21]12.sz.mell'!E17</f>
        <v>11428736</v>
      </c>
      <c r="F47" s="447">
        <f>'[21]9.sz.mell.'!F47+'[21]11.sz.mell'!F17+'[21]10.sz.mell'!F17+'[21]12.sz.mell'!F17</f>
        <v>7685887</v>
      </c>
    </row>
    <row r="48" spans="1:6" s="10" customFormat="1" ht="14.25" customHeight="1" x14ac:dyDescent="0.2">
      <c r="A48" s="11" t="s">
        <v>111</v>
      </c>
      <c r="B48" s="25" t="s">
        <v>112</v>
      </c>
      <c r="C48" s="45" t="s">
        <v>113</v>
      </c>
      <c r="D48" s="409">
        <f>'[21]9.sz.mell.'!D48+'[21]11.sz.mell'!D18+'[21]10.sz.mell'!D18+'[21]12.sz.mell'!D18</f>
        <v>4003802</v>
      </c>
      <c r="E48" s="409">
        <f>'[21]9.sz.mell.'!E48+'[21]11.sz.mell'!E18+'[21]10.sz.mell'!E18+'[21]12.sz.mell'!E18</f>
        <v>4003802</v>
      </c>
      <c r="F48" s="409">
        <f>'[21]9.sz.mell.'!F48+'[21]11.sz.mell'!F18+'[21]10.sz.mell'!F18+'[21]12.sz.mell'!F18</f>
        <v>134010</v>
      </c>
    </row>
    <row r="49" spans="1:6" s="10" customFormat="1" ht="14.25" customHeight="1" x14ac:dyDescent="0.2">
      <c r="A49" s="11" t="s">
        <v>114</v>
      </c>
      <c r="B49" s="25" t="s">
        <v>115</v>
      </c>
      <c r="C49" s="45" t="s">
        <v>116</v>
      </c>
      <c r="D49" s="409">
        <f>'[21]9.sz.mell.'!D49+'[21]10.sz.mell'!D21+'[21]11.sz.mell'!D21+'[21]11.sz.mell'!D21</f>
        <v>0</v>
      </c>
      <c r="E49" s="409">
        <f>'[21]9.sz.mell.'!E49+'[21]10.sz.mell'!E21+'[21]11.sz.mell'!E21+'[21]11.sz.mell'!E21</f>
        <v>0</v>
      </c>
      <c r="F49" s="409">
        <f>'[21]9.sz.mell.'!F49+'[21]10.sz.mell'!F21+'[21]11.sz.mell'!F21+'[21]11.sz.mell'!F21</f>
        <v>0</v>
      </c>
    </row>
    <row r="50" spans="1:6" s="10" customFormat="1" ht="14.25" customHeight="1" x14ac:dyDescent="0.2">
      <c r="A50" s="11" t="s">
        <v>117</v>
      </c>
      <c r="B50" s="25" t="s">
        <v>118</v>
      </c>
      <c r="C50" s="45" t="s">
        <v>119</v>
      </c>
      <c r="D50" s="409">
        <f>'[21]9.sz.mell.'!D50</f>
        <v>325</v>
      </c>
      <c r="E50" s="409">
        <f>'[21]9.sz.mell.'!E50</f>
        <v>1344198</v>
      </c>
      <c r="F50" s="409">
        <f>'[21]9.sz.mell.'!F50</f>
        <v>1344198</v>
      </c>
    </row>
    <row r="51" spans="1:6" s="10" customFormat="1" ht="14.25" customHeight="1" x14ac:dyDescent="0.2">
      <c r="A51" s="11" t="s">
        <v>120</v>
      </c>
      <c r="B51" s="25" t="s">
        <v>121</v>
      </c>
      <c r="C51" s="45" t="s">
        <v>122</v>
      </c>
      <c r="D51" s="409">
        <f>'[21]9.sz.mell.'!D51+'[21]10.sz.mell'!D23+'[21]11.sz.mell'!D23+'[21]12.sz.mell'!D23</f>
        <v>3058396</v>
      </c>
      <c r="E51" s="409">
        <f>'[21]9.sz.mell.'!E51+'[21]10.sz.mell'!E23+'[21]11.sz.mell'!E23+'[21]12.sz.mell'!E23</f>
        <v>3058396</v>
      </c>
      <c r="F51" s="409">
        <f>'[21]9.sz.mell.'!F51+'[21]10.sz.mell'!F23+'[21]11.sz.mell'!F23+'[21]12.sz.mell'!F23</f>
        <v>814296</v>
      </c>
    </row>
    <row r="52" spans="1:6" s="10" customFormat="1" ht="14.25" customHeight="1" x14ac:dyDescent="0.2">
      <c r="A52" s="11" t="s">
        <v>123</v>
      </c>
      <c r="B52" s="25" t="s">
        <v>124</v>
      </c>
      <c r="C52" s="45" t="s">
        <v>125</v>
      </c>
      <c r="D52" s="409">
        <f>'[21]9.sz.mell.'!D52+'[21]10.sz.mell'!D24+'[21]11.sz.mell'!D24+'[21]12.sz.mell'!D24</f>
        <v>0</v>
      </c>
      <c r="E52" s="409">
        <f>'[21]9.sz.mell.'!E52+'[21]10.sz.mell'!E24+'[21]11.sz.mell'!E24+'[21]12.sz.mell'!E24</f>
        <v>0</v>
      </c>
      <c r="F52" s="409">
        <f>'[21]9.sz.mell.'!F52+'[21]10.sz.mell'!F24+'[21]11.sz.mell'!F24+'[21]12.sz.mell'!F24</f>
        <v>0</v>
      </c>
    </row>
    <row r="53" spans="1:6" s="10" customFormat="1" ht="14.25" customHeight="1" x14ac:dyDescent="0.2">
      <c r="A53" s="11" t="s">
        <v>126</v>
      </c>
      <c r="B53" s="25" t="s">
        <v>127</v>
      </c>
      <c r="C53" s="45" t="s">
        <v>128</v>
      </c>
      <c r="D53" s="409">
        <f>'[21]9.sz.mell.'!D53+'[21]10.sz.mell'!D25+'[21]11.sz.mell'!D25+'[21]12.sz.mell'!D25</f>
        <v>0</v>
      </c>
      <c r="E53" s="409">
        <f>'[21]9.sz.mell.'!E53+'[21]10.sz.mell'!E25+'[21]11.sz.mell'!E25+'[21]12.sz.mell'!E25</f>
        <v>26</v>
      </c>
      <c r="F53" s="409">
        <f>'[21]9.sz.mell.'!F53+'[21]10.sz.mell'!F25+'[21]11.sz.mell'!F25+'[21]12.sz.mell'!F25</f>
        <v>26</v>
      </c>
    </row>
    <row r="54" spans="1:6" s="10" customFormat="1" ht="14.25" customHeight="1" x14ac:dyDescent="0.2">
      <c r="A54" s="11" t="s">
        <v>129</v>
      </c>
      <c r="B54" s="25" t="s">
        <v>130</v>
      </c>
      <c r="C54" s="45" t="s">
        <v>131</v>
      </c>
      <c r="D54" s="409">
        <f>'[21]9.sz.mell.'!D54+'[21]10.sz.mell'!D26+'[21]11.sz.mell'!D26+'[21]12.sz.mell'!D26</f>
        <v>0</v>
      </c>
      <c r="E54" s="409">
        <f>'[21]9.sz.mell.'!E54+'[21]10.sz.mell'!E26+'[21]11.sz.mell'!E26+'[21]12.sz.mell'!E26</f>
        <v>0</v>
      </c>
      <c r="F54" s="409">
        <f>'[21]9.sz.mell.'!F54+'[21]10.sz.mell'!F26+'[21]11.sz.mell'!F26+'[21]12.sz.mell'!F26</f>
        <v>0</v>
      </c>
    </row>
    <row r="55" spans="1:6" s="10" customFormat="1" ht="14.25" customHeight="1" x14ac:dyDescent="0.2">
      <c r="A55" s="11" t="s">
        <v>132</v>
      </c>
      <c r="B55" s="25" t="s">
        <v>133</v>
      </c>
      <c r="C55" s="45" t="s">
        <v>134</v>
      </c>
      <c r="D55" s="409">
        <f>'[21]9.sz.mell.'!D55+'[21]10.sz.mell'!D27+'[21]11.sz.mell'!D27+'[21]12.sz.mell'!D27</f>
        <v>0</v>
      </c>
      <c r="E55" s="409">
        <f>'[21]9.sz.mell.'!E55+'[21]10.sz.mell'!E27+'[21]11.sz.mell'!E27+'[21]12.sz.mell'!E27</f>
        <v>0</v>
      </c>
      <c r="F55" s="409">
        <f>'[21]9.sz.mell.'!F55+'[21]10.sz.mell'!F27+'[21]11.sz.mell'!F27+'[21]12.sz.mell'!F27</f>
        <v>0</v>
      </c>
    </row>
    <row r="56" spans="1:6" s="10" customFormat="1" ht="14.25" customHeight="1" x14ac:dyDescent="0.2">
      <c r="A56" s="19" t="s">
        <v>135</v>
      </c>
      <c r="B56" s="46" t="s">
        <v>136</v>
      </c>
      <c r="C56" s="42" t="s">
        <v>137</v>
      </c>
      <c r="D56" s="409">
        <f>'[21]9.sz.mell.'!D56+'[21]10.sz.mell'!D28+'[21]11.sz.mell'!D28+'[21]12.sz.mell'!D28</f>
        <v>7268849</v>
      </c>
      <c r="E56" s="409">
        <f>'[21]9.sz.mell.'!E56+'[21]10.sz.mell'!E28+'[21]11.sz.mell'!E28+'[21]12.sz.mell'!E28</f>
        <v>15521023</v>
      </c>
      <c r="F56" s="409">
        <f>'[21]9.sz.mell.'!F56+'[21]10.sz.mell'!F28+'[21]11.sz.mell'!F28+'[21]12.sz.mell'!F28</f>
        <v>58606</v>
      </c>
    </row>
    <row r="57" spans="1:6" s="10" customFormat="1" ht="15.75" customHeight="1" x14ac:dyDescent="0.2">
      <c r="A57" s="21" t="s">
        <v>138</v>
      </c>
      <c r="B57" s="47" t="s">
        <v>139</v>
      </c>
      <c r="C57" s="23" t="s">
        <v>140</v>
      </c>
      <c r="D57" s="449">
        <f>SUM(D46:D56)</f>
        <v>37083974</v>
      </c>
      <c r="E57" s="449">
        <f t="shared" ref="E57:F57" si="9">SUM(E46:E56)</f>
        <v>46682847</v>
      </c>
      <c r="F57" s="449">
        <f t="shared" si="9"/>
        <v>12412298</v>
      </c>
    </row>
    <row r="58" spans="1:6" s="10" customFormat="1" ht="14.25" customHeight="1" x14ac:dyDescent="0.2">
      <c r="A58" s="48" t="s">
        <v>141</v>
      </c>
      <c r="B58" s="24" t="s">
        <v>142</v>
      </c>
      <c r="C58" s="49" t="s">
        <v>143</v>
      </c>
      <c r="D58" s="450">
        <f>'[21]9.sz.mell.'!D58</f>
        <v>0</v>
      </c>
      <c r="E58" s="450">
        <f>'[21]9.sz.mell.'!E58</f>
        <v>0</v>
      </c>
      <c r="F58" s="450">
        <f>'[21]9.sz.mell.'!F58</f>
        <v>0</v>
      </c>
    </row>
    <row r="59" spans="1:6" s="10" customFormat="1" ht="14.25" customHeight="1" x14ac:dyDescent="0.2">
      <c r="A59" s="50" t="s">
        <v>144</v>
      </c>
      <c r="B59" s="25" t="s">
        <v>145</v>
      </c>
      <c r="C59" s="45" t="s">
        <v>146</v>
      </c>
      <c r="D59" s="450">
        <f>'[21]9.sz.mell.'!D59</f>
        <v>600000</v>
      </c>
      <c r="E59" s="450">
        <f>'[21]9.sz.mell.'!E59</f>
        <v>800000</v>
      </c>
      <c r="F59" s="450">
        <f>'[21]9.sz.mell.'!F59</f>
        <v>300000</v>
      </c>
    </row>
    <row r="60" spans="1:6" s="10" customFormat="1" ht="14.25" customHeight="1" x14ac:dyDescent="0.2">
      <c r="A60" s="50" t="s">
        <v>147</v>
      </c>
      <c r="B60" s="25" t="s">
        <v>148</v>
      </c>
      <c r="C60" s="45" t="s">
        <v>149</v>
      </c>
      <c r="D60" s="450">
        <f>'[21]9.sz.mell.'!D60</f>
        <v>0</v>
      </c>
      <c r="E60" s="450">
        <f>'[21]9.sz.mell.'!E60</f>
        <v>0</v>
      </c>
      <c r="F60" s="450">
        <f>'[21]9.sz.mell.'!F60</f>
        <v>0</v>
      </c>
    </row>
    <row r="61" spans="1:6" s="10" customFormat="1" ht="14.25" customHeight="1" x14ac:dyDescent="0.2">
      <c r="A61" s="50" t="s">
        <v>150</v>
      </c>
      <c r="B61" s="25" t="s">
        <v>151</v>
      </c>
      <c r="C61" s="45" t="s">
        <v>152</v>
      </c>
      <c r="D61" s="450">
        <f>'[21]9.sz.mell.'!D61</f>
        <v>0</v>
      </c>
      <c r="E61" s="450">
        <f>'[21]9.sz.mell.'!E61</f>
        <v>0</v>
      </c>
      <c r="F61" s="450">
        <f>'[21]9.sz.mell.'!F61</f>
        <v>0</v>
      </c>
    </row>
    <row r="62" spans="1:6" s="10" customFormat="1" ht="14.25" customHeight="1" x14ac:dyDescent="0.2">
      <c r="A62" s="51" t="s">
        <v>153</v>
      </c>
      <c r="B62" s="46" t="s">
        <v>154</v>
      </c>
      <c r="C62" s="42" t="s">
        <v>155</v>
      </c>
      <c r="D62" s="450">
        <f>'[21]9.sz.mell.'!D62</f>
        <v>0</v>
      </c>
      <c r="E62" s="450">
        <f>'[21]9.sz.mell.'!E62</f>
        <v>0</v>
      </c>
      <c r="F62" s="450">
        <f>'[21]9.sz.mell.'!F62</f>
        <v>0</v>
      </c>
    </row>
    <row r="63" spans="1:6" s="10" customFormat="1" ht="14.25" customHeight="1" x14ac:dyDescent="0.2">
      <c r="A63" s="28" t="s">
        <v>156</v>
      </c>
      <c r="B63" s="47" t="s">
        <v>157</v>
      </c>
      <c r="C63" s="52" t="s">
        <v>158</v>
      </c>
      <c r="D63" s="451">
        <f>SUM(D58:D62)</f>
        <v>600000</v>
      </c>
      <c r="E63" s="451">
        <f t="shared" ref="E63:F63" si="10">SUM(E58:E62)</f>
        <v>800000</v>
      </c>
      <c r="F63" s="451">
        <f t="shared" si="10"/>
        <v>300000</v>
      </c>
    </row>
    <row r="64" spans="1:6" s="10" customFormat="1" ht="16.5" customHeight="1" x14ac:dyDescent="0.2">
      <c r="A64" s="31" t="s">
        <v>159</v>
      </c>
      <c r="B64" s="53" t="s">
        <v>160</v>
      </c>
      <c r="C64" s="54" t="s">
        <v>161</v>
      </c>
      <c r="D64" s="447"/>
      <c r="E64" s="447">
        <f>'[21]9.sz.mell.'!E64+'[21]10.sz.mell'!E31+'[21]12.sz.mell'!E31</f>
        <v>152940</v>
      </c>
      <c r="F64" s="447">
        <f>'[21]9.sz.mell.'!F64+'[21]10.sz.mell'!F31+'[21]12.sz.mell'!F31</f>
        <v>152940</v>
      </c>
    </row>
    <row r="65" spans="1:6" s="10" customFormat="1" ht="17.25" customHeight="1" x14ac:dyDescent="0.2">
      <c r="A65" s="19" t="s">
        <v>162</v>
      </c>
      <c r="B65" s="46" t="s">
        <v>163</v>
      </c>
      <c r="C65" s="55" t="s">
        <v>164</v>
      </c>
      <c r="D65" s="443">
        <f>'[21]11.sz.mell'!D31+'[21]12.sz.mell'!D31+'[21]10.sz.mell'!D31+'[21]9.sz.mell.'!D65</f>
        <v>500000</v>
      </c>
      <c r="E65" s="443">
        <f>'[21]11.sz.mell'!E31+'[21]12.sz.mell'!E31+'[21]10.sz.mell'!E31+'[21]9.sz.mell.'!E65</f>
        <v>576000</v>
      </c>
      <c r="F65" s="443">
        <f>'[21]11.sz.mell'!F31+'[21]12.sz.mell'!F31+'[21]10.sz.mell'!F31+'[21]9.sz.mell.'!F65</f>
        <v>261500</v>
      </c>
    </row>
    <row r="66" spans="1:6" s="10" customFormat="1" ht="17.25" customHeight="1" x14ac:dyDescent="0.2">
      <c r="A66" s="28" t="s">
        <v>165</v>
      </c>
      <c r="B66" s="22" t="s">
        <v>166</v>
      </c>
      <c r="C66" s="23" t="s">
        <v>167</v>
      </c>
      <c r="D66" s="451">
        <f>SUM(D64:D65)</f>
        <v>500000</v>
      </c>
      <c r="E66" s="451">
        <f t="shared" ref="E66:F66" si="11">SUM(E64:E65)</f>
        <v>728940</v>
      </c>
      <c r="F66" s="451">
        <f t="shared" si="11"/>
        <v>414440</v>
      </c>
    </row>
    <row r="67" spans="1:6" s="10" customFormat="1" ht="16.5" customHeight="1" x14ac:dyDescent="0.2">
      <c r="A67" s="7" t="s">
        <v>168</v>
      </c>
      <c r="B67" s="8" t="s">
        <v>169</v>
      </c>
      <c r="C67" s="9" t="s">
        <v>170</v>
      </c>
      <c r="D67" s="450"/>
      <c r="E67" s="450"/>
      <c r="F67" s="450"/>
    </row>
    <row r="68" spans="1:6" s="10" customFormat="1" ht="14.25" customHeight="1" x14ac:dyDescent="0.2">
      <c r="A68" s="19" t="s">
        <v>171</v>
      </c>
      <c r="B68" s="46" t="s">
        <v>172</v>
      </c>
      <c r="C68" s="20" t="s">
        <v>173</v>
      </c>
      <c r="D68" s="413"/>
      <c r="E68" s="413"/>
      <c r="F68" s="413"/>
    </row>
    <row r="69" spans="1:6" s="10" customFormat="1" ht="15.75" customHeight="1" x14ac:dyDescent="0.2">
      <c r="A69" s="19" t="s">
        <v>174</v>
      </c>
      <c r="B69" s="57" t="s">
        <v>175</v>
      </c>
      <c r="C69" s="58" t="s">
        <v>176</v>
      </c>
      <c r="D69" s="610">
        <f>SUM(D67:D68)</f>
        <v>0</v>
      </c>
      <c r="E69" s="610">
        <f t="shared" ref="E69:F69" si="12">SUM(E67:E68)</f>
        <v>0</v>
      </c>
      <c r="F69" s="610">
        <f t="shared" si="12"/>
        <v>0</v>
      </c>
    </row>
    <row r="70" spans="1:6" s="10" customFormat="1" ht="21" customHeight="1" x14ac:dyDescent="0.2">
      <c r="A70" s="28" t="s">
        <v>177</v>
      </c>
      <c r="B70" s="47" t="s">
        <v>178</v>
      </c>
      <c r="C70" s="59" t="s">
        <v>179</v>
      </c>
      <c r="D70" s="415">
        <f>SUM(D22+D31+D45+D57+D63+D66+D69)</f>
        <v>535641311.33333337</v>
      </c>
      <c r="E70" s="415">
        <f t="shared" ref="E70:F70" si="13">SUM(E22+E31+E45+E57+E63+E66+E69)</f>
        <v>550410668.33333325</v>
      </c>
      <c r="F70" s="415">
        <f t="shared" si="13"/>
        <v>255461622</v>
      </c>
    </row>
    <row r="71" spans="1:6" s="10" customFormat="1" ht="14.25" customHeight="1" x14ac:dyDescent="0.2">
      <c r="A71" s="7" t="s">
        <v>180</v>
      </c>
      <c r="B71" s="8" t="s">
        <v>181</v>
      </c>
      <c r="C71" s="9" t="s">
        <v>182</v>
      </c>
      <c r="D71" s="452"/>
      <c r="E71" s="452"/>
      <c r="F71" s="452"/>
    </row>
    <row r="72" spans="1:6" s="10" customFormat="1" ht="14.25" customHeight="1" x14ac:dyDescent="0.2">
      <c r="A72" s="11" t="s">
        <v>183</v>
      </c>
      <c r="B72" s="12" t="s">
        <v>184</v>
      </c>
      <c r="C72" s="13" t="s">
        <v>185</v>
      </c>
      <c r="D72" s="426">
        <f>SUM(D73:D74)</f>
        <v>22808285</v>
      </c>
      <c r="E72" s="426">
        <f t="shared" ref="E72:F72" si="14">SUM(E73:E74)</f>
        <v>22826285</v>
      </c>
      <c r="F72" s="426">
        <f t="shared" si="14"/>
        <v>6410475</v>
      </c>
    </row>
    <row r="73" spans="1:6" s="10" customFormat="1" ht="14.25" customHeight="1" x14ac:dyDescent="0.2">
      <c r="A73" s="11" t="s">
        <v>186</v>
      </c>
      <c r="B73" s="60" t="s">
        <v>187</v>
      </c>
      <c r="C73" s="13" t="s">
        <v>188</v>
      </c>
      <c r="D73" s="448">
        <f>'[21]9.sz.mell.'!D73+'[21]10.sz.mell'!D35+'[21]11.sz.mell'!D35+'[21]12.sz.mell'!D35</f>
        <v>22808285</v>
      </c>
      <c r="E73" s="448">
        <f>'[21]9.sz.mell.'!E73+'[21]10.sz.mell'!E35+'[21]11.sz.mell'!E35+'[21]12.sz.mell'!E35</f>
        <v>22826285</v>
      </c>
      <c r="F73" s="448">
        <f>'[21]9.sz.mell.'!F73+'[21]10.sz.mell'!F35+'[21]11.sz.mell'!F35+'[21]12.sz.mell'!F35</f>
        <v>6410475</v>
      </c>
    </row>
    <row r="74" spans="1:6" s="10" customFormat="1" ht="14.25" customHeight="1" x14ac:dyDescent="0.2">
      <c r="A74" s="11" t="s">
        <v>189</v>
      </c>
      <c r="B74" s="620" t="s">
        <v>190</v>
      </c>
      <c r="C74" s="13" t="s">
        <v>191</v>
      </c>
      <c r="D74" s="448">
        <f>'[21]9.sz.mell.'!D74</f>
        <v>0</v>
      </c>
      <c r="E74" s="448">
        <f>'[21]9.sz.mell.'!E74</f>
        <v>0</v>
      </c>
      <c r="F74" s="448">
        <f>'[21]9.sz.mell.'!F74</f>
        <v>0</v>
      </c>
    </row>
    <row r="75" spans="1:6" s="10" customFormat="1" ht="14.25" customHeight="1" x14ac:dyDescent="0.2">
      <c r="A75" s="40" t="s">
        <v>192</v>
      </c>
      <c r="B75" s="619" t="s">
        <v>601</v>
      </c>
      <c r="C75" s="617" t="s">
        <v>603</v>
      </c>
      <c r="D75" s="618"/>
      <c r="E75" s="618"/>
      <c r="F75" s="618"/>
    </row>
    <row r="76" spans="1:6" s="10" customFormat="1" ht="14.25" customHeight="1" x14ac:dyDescent="0.2">
      <c r="A76" s="28" t="s">
        <v>195</v>
      </c>
      <c r="B76" s="61" t="s">
        <v>604</v>
      </c>
      <c r="C76" s="62" t="s">
        <v>194</v>
      </c>
      <c r="D76" s="415">
        <f>SUM(D71+D72+D75)</f>
        <v>22808285</v>
      </c>
      <c r="E76" s="415">
        <f t="shared" ref="E76:F76" si="15">SUM(E71+E72+E75)</f>
        <v>22826285</v>
      </c>
      <c r="F76" s="415">
        <f t="shared" si="15"/>
        <v>6410475</v>
      </c>
    </row>
    <row r="77" spans="1:6" s="10" customFormat="1" ht="18.75" customHeight="1" x14ac:dyDescent="0.2">
      <c r="A77" s="28" t="s">
        <v>602</v>
      </c>
      <c r="B77" s="61" t="s">
        <v>605</v>
      </c>
      <c r="C77" s="62" t="s">
        <v>606</v>
      </c>
      <c r="D77" s="415">
        <f>SUM(D76,D70)</f>
        <v>558449596.33333337</v>
      </c>
      <c r="E77" s="415">
        <f t="shared" ref="E77:F77" si="16">SUM(E76,E70)</f>
        <v>573236953.33333325</v>
      </c>
      <c r="F77" s="415">
        <f t="shared" si="16"/>
        <v>261872097</v>
      </c>
    </row>
    <row r="78" spans="1:6" ht="17.25" customHeight="1" x14ac:dyDescent="0.25">
      <c r="A78" s="1104"/>
      <c r="B78" s="1104"/>
      <c r="C78" s="1104"/>
      <c r="D78" s="1104"/>
      <c r="F78" s="990"/>
    </row>
    <row r="79" spans="1:6" s="63" customFormat="1" ht="16.5" customHeight="1" x14ac:dyDescent="0.25">
      <c r="A79" s="1104" t="s">
        <v>197</v>
      </c>
      <c r="B79" s="1104"/>
      <c r="C79" s="1104"/>
      <c r="D79" s="1104"/>
    </row>
    <row r="80" spans="1:6" ht="38.1" customHeight="1" x14ac:dyDescent="0.25">
      <c r="A80" s="3" t="s">
        <v>2</v>
      </c>
      <c r="B80" s="4" t="s">
        <v>198</v>
      </c>
      <c r="C80" s="4" t="s">
        <v>4</v>
      </c>
      <c r="D80" s="5" t="str">
        <f>+D4</f>
        <v>2018. évi eredeti előirányzat</v>
      </c>
      <c r="E80" s="247" t="s">
        <v>936</v>
      </c>
      <c r="F80" s="247" t="s">
        <v>937</v>
      </c>
    </row>
    <row r="81" spans="1:9" s="6" customFormat="1" ht="12" customHeight="1" x14ac:dyDescent="0.2">
      <c r="A81" s="3" t="s">
        <v>5</v>
      </c>
      <c r="B81" s="4" t="s">
        <v>6</v>
      </c>
      <c r="C81" s="4" t="s">
        <v>7</v>
      </c>
      <c r="D81" s="5" t="s">
        <v>8</v>
      </c>
      <c r="E81" s="790" t="s">
        <v>263</v>
      </c>
      <c r="F81" s="5" t="s">
        <v>422</v>
      </c>
    </row>
    <row r="82" spans="1:9" ht="15.75" customHeight="1" x14ac:dyDescent="0.25">
      <c r="A82" s="77" t="s">
        <v>9</v>
      </c>
      <c r="B82" s="32" t="s">
        <v>199</v>
      </c>
      <c r="C82" s="33" t="s">
        <v>200</v>
      </c>
      <c r="D82" s="447">
        <f>'[21]9.sz.mell.'!D81+'[21]10.sz.mell'!D47+'[21]11.sz.mell'!D47+'[21]12.sz.mell'!D47</f>
        <v>243685742.43735763</v>
      </c>
      <c r="E82" s="447">
        <f>'[21]9.sz.mell.'!E81+'[21]10.sz.mell'!E47+'[21]11.sz.mell'!E47+'[21]12.sz.mell'!E47</f>
        <v>246574938</v>
      </c>
      <c r="F82" s="447">
        <f>'[21]9.sz.mell.'!F81+'[21]10.sz.mell'!F47+'[21]11.sz.mell'!F47+'[21]12.sz.mell'!F47</f>
        <v>128295080</v>
      </c>
      <c r="I82" s="990"/>
    </row>
    <row r="83" spans="1:9" ht="15.75" customHeight="1" x14ac:dyDescent="0.25">
      <c r="A83" s="48" t="s">
        <v>12</v>
      </c>
      <c r="B83" s="64" t="s">
        <v>201</v>
      </c>
      <c r="C83" s="65" t="s">
        <v>202</v>
      </c>
      <c r="D83" s="406">
        <f>'[21]9.sz.mell.'!D82+'[21]10.sz.mell'!D48+'[21]11.sz.mell'!D48+'[21]12.sz.mell'!D48</f>
        <v>36062934.586842373</v>
      </c>
      <c r="E83" s="406">
        <f>'[21]9.sz.mell.'!E82+'[21]10.sz.mell'!E48+'[21]11.sz.mell'!E48+'[21]12.sz.mell'!E48</f>
        <v>36548473.086842373</v>
      </c>
      <c r="F83" s="406">
        <f>'[21]9.sz.mell.'!F82+'[21]10.sz.mell'!F48+'[21]11.sz.mell'!F48+'[21]12.sz.mell'!F48</f>
        <v>20517276</v>
      </c>
      <c r="I83" s="990"/>
    </row>
    <row r="84" spans="1:9" ht="15.75" customHeight="1" x14ac:dyDescent="0.25">
      <c r="A84" s="50" t="s">
        <v>15</v>
      </c>
      <c r="B84" s="66" t="s">
        <v>203</v>
      </c>
      <c r="C84" s="67" t="s">
        <v>204</v>
      </c>
      <c r="D84" s="406">
        <f>'[21]9.sz.mell.'!D83+'[21]10.sz.mell'!D49+'[21]11.sz.mell'!D49+'[21]12.sz.mell'!D49</f>
        <v>102204115.7480315</v>
      </c>
      <c r="E84" s="406">
        <f>'[21]9.sz.mell.'!E83+'[21]10.sz.mell'!E49+'[21]11.sz.mell'!E49+'[21]12.sz.mell'!E49</f>
        <v>101802890.53937007</v>
      </c>
      <c r="F84" s="406">
        <f>'[21]9.sz.mell.'!F83+'[21]10.sz.mell'!F49+'[21]11.sz.mell'!F49+'[21]12.sz.mell'!F49</f>
        <v>45457616</v>
      </c>
      <c r="I84" s="990"/>
    </row>
    <row r="85" spans="1:9" ht="15.75" customHeight="1" x14ac:dyDescent="0.25">
      <c r="A85" s="48" t="s">
        <v>18</v>
      </c>
      <c r="B85" s="66" t="s">
        <v>205</v>
      </c>
      <c r="C85" s="67" t="s">
        <v>206</v>
      </c>
      <c r="D85" s="406">
        <f>'[21]9.sz.mell.'!D84+'[21]10.sz.mell'!D50+'[21]11.sz.mell'!D50+'[21]12.sz.mell'!D50</f>
        <v>3100000</v>
      </c>
      <c r="E85" s="406">
        <f>'[21]9.sz.mell.'!E84+'[21]10.sz.mell'!E50+'[21]11.sz.mell'!E50+'[21]12.sz.mell'!E50</f>
        <v>3100000</v>
      </c>
      <c r="F85" s="406">
        <f>'[21]9.sz.mell.'!F84+'[21]10.sz.mell'!F50+'[21]11.sz.mell'!F50+'[21]12.sz.mell'!F50</f>
        <v>328000</v>
      </c>
      <c r="I85" s="990"/>
    </row>
    <row r="86" spans="1:9" ht="15.75" customHeight="1" x14ac:dyDescent="0.25">
      <c r="A86" s="50" t="s">
        <v>21</v>
      </c>
      <c r="B86" s="66" t="s">
        <v>207</v>
      </c>
      <c r="C86" s="67" t="s">
        <v>208</v>
      </c>
      <c r="D86" s="409">
        <f>SUM(D87:D93)</f>
        <v>8192702</v>
      </c>
      <c r="E86" s="409">
        <f t="shared" ref="E86" si="17">SUM(E87:E93)</f>
        <v>20006550</v>
      </c>
      <c r="F86" s="409">
        <f>SUM(F87:F93)</f>
        <v>2662000</v>
      </c>
      <c r="I86" s="990"/>
    </row>
    <row r="87" spans="1:9" ht="15.75" customHeight="1" x14ac:dyDescent="0.25">
      <c r="A87" s="50" t="s">
        <v>24</v>
      </c>
      <c r="B87" s="611" t="s">
        <v>209</v>
      </c>
      <c r="C87" s="70" t="s">
        <v>210</v>
      </c>
      <c r="D87" s="441">
        <f>'[21]9.sz.mell.'!D86</f>
        <v>5492702</v>
      </c>
      <c r="E87" s="441">
        <f>'[21]9.sz.mell.'!E86</f>
        <v>15077584</v>
      </c>
      <c r="F87" s="441">
        <f>'[21]9.sz.mell.'!F86</f>
        <v>100000</v>
      </c>
      <c r="I87" s="990"/>
    </row>
    <row r="88" spans="1:9" ht="15.75" customHeight="1" x14ac:dyDescent="0.25">
      <c r="A88" s="50" t="s">
        <v>27</v>
      </c>
      <c r="B88" s="68" t="s">
        <v>211</v>
      </c>
      <c r="C88" s="94" t="s">
        <v>212</v>
      </c>
      <c r="D88" s="441">
        <f>'[21]9.sz.mell.'!D87</f>
        <v>0</v>
      </c>
      <c r="E88" s="441">
        <f>'[21]9.sz.mell.'!E87</f>
        <v>0</v>
      </c>
      <c r="F88" s="441">
        <f>'[21]9.sz.mell.'!F87</f>
        <v>0</v>
      </c>
      <c r="I88" s="990"/>
    </row>
    <row r="89" spans="1:9" ht="15.75" customHeight="1" x14ac:dyDescent="0.25">
      <c r="A89" s="48" t="s">
        <v>30</v>
      </c>
      <c r="B89" s="68" t="s">
        <v>213</v>
      </c>
      <c r="C89" s="94" t="s">
        <v>214</v>
      </c>
      <c r="D89" s="441">
        <f>'[21]9.sz.mell.'!D88</f>
        <v>0</v>
      </c>
      <c r="E89" s="441">
        <f>'[21]9.sz.mell.'!E88</f>
        <v>0</v>
      </c>
      <c r="F89" s="441">
        <f>'[21]9.sz.mell.'!F88</f>
        <v>0</v>
      </c>
      <c r="I89" s="990"/>
    </row>
    <row r="90" spans="1:9" ht="15.75" customHeight="1" x14ac:dyDescent="0.25">
      <c r="A90" s="50" t="s">
        <v>33</v>
      </c>
      <c r="B90" s="69" t="s">
        <v>215</v>
      </c>
      <c r="C90" s="94" t="s">
        <v>216</v>
      </c>
      <c r="D90" s="441">
        <f>'[21]9.sz.mell.'!D89</f>
        <v>0</v>
      </c>
      <c r="E90" s="441">
        <f>'[21]9.sz.mell.'!E89</f>
        <v>0</v>
      </c>
      <c r="F90" s="441">
        <f>'[21]9.sz.mell.'!F89</f>
        <v>0</v>
      </c>
      <c r="I90" s="990"/>
    </row>
    <row r="91" spans="1:9" ht="15.75" customHeight="1" x14ac:dyDescent="0.25">
      <c r="A91" s="50" t="s">
        <v>36</v>
      </c>
      <c r="B91" s="68" t="s">
        <v>217</v>
      </c>
      <c r="C91" s="94" t="s">
        <v>218</v>
      </c>
      <c r="D91" s="441">
        <f>'[21]9.sz.mell.'!D90</f>
        <v>0</v>
      </c>
      <c r="E91" s="441">
        <f>'[21]9.sz.mell.'!E90</f>
        <v>0</v>
      </c>
      <c r="F91" s="441">
        <f>'[21]9.sz.mell.'!F90</f>
        <v>0</v>
      </c>
      <c r="I91" s="990"/>
    </row>
    <row r="92" spans="1:9" ht="15.75" customHeight="1" x14ac:dyDescent="0.25">
      <c r="A92" s="50" t="s">
        <v>38</v>
      </c>
      <c r="B92" s="68" t="s">
        <v>219</v>
      </c>
      <c r="C92" s="94" t="s">
        <v>220</v>
      </c>
      <c r="D92" s="441">
        <f>'[21]9.sz.mell.'!D91</f>
        <v>2700000</v>
      </c>
      <c r="E92" s="441">
        <f>'[21]9.sz.mell.'!E91</f>
        <v>2700000</v>
      </c>
      <c r="F92" s="441">
        <f>'[21]9.sz.mell.'!F91</f>
        <v>2562000</v>
      </c>
      <c r="I92" s="990"/>
    </row>
    <row r="93" spans="1:9" ht="15.75" customHeight="1" x14ac:dyDescent="0.25">
      <c r="A93" s="48" t="s">
        <v>40</v>
      </c>
      <c r="B93" s="68" t="s">
        <v>221</v>
      </c>
      <c r="C93" s="94" t="s">
        <v>222</v>
      </c>
      <c r="D93" s="441">
        <f>'[21]9.sz.mell.'!D92</f>
        <v>0</v>
      </c>
      <c r="E93" s="441">
        <f>'[21]9.sz.mell.'!E92</f>
        <v>2228966</v>
      </c>
      <c r="F93" s="441">
        <f>'[21]9.sz.mell.'!F92</f>
        <v>0</v>
      </c>
      <c r="I93" s="990"/>
    </row>
    <row r="94" spans="1:9" ht="15.75" customHeight="1" x14ac:dyDescent="0.25">
      <c r="A94" s="50" t="s">
        <v>42</v>
      </c>
      <c r="B94" s="68" t="s">
        <v>223</v>
      </c>
      <c r="C94" s="70" t="s">
        <v>222</v>
      </c>
      <c r="D94" s="441">
        <f>'[21]9.sz.mell.'!D93</f>
        <v>0</v>
      </c>
      <c r="E94" s="441">
        <f>'[21]9.sz.mell.'!E93</f>
        <v>2228966</v>
      </c>
      <c r="F94" s="441">
        <f>'[21]9.sz.mell.'!F93</f>
        <v>0</v>
      </c>
      <c r="I94" s="990"/>
    </row>
    <row r="95" spans="1:9" ht="15.75" customHeight="1" x14ac:dyDescent="0.25">
      <c r="A95" s="51" t="s">
        <v>44</v>
      </c>
      <c r="B95" s="71" t="s">
        <v>224</v>
      </c>
      <c r="C95" s="72" t="s">
        <v>222</v>
      </c>
      <c r="D95" s="441">
        <f>'[21]9.sz.mell.'!D94</f>
        <v>0</v>
      </c>
      <c r="E95" s="441">
        <f>'[21]9.sz.mell.'!E94</f>
        <v>0</v>
      </c>
      <c r="F95" s="441">
        <f>'[21]9.sz.mell.'!F94</f>
        <v>0</v>
      </c>
      <c r="I95" s="990"/>
    </row>
    <row r="96" spans="1:9" ht="15.75" customHeight="1" x14ac:dyDescent="0.25">
      <c r="A96" s="73" t="s">
        <v>46</v>
      </c>
      <c r="B96" s="74" t="s">
        <v>418</v>
      </c>
      <c r="C96" s="30" t="s">
        <v>225</v>
      </c>
      <c r="D96" s="449">
        <f>SUM(D82:D86)</f>
        <v>393245494.77223152</v>
      </c>
      <c r="E96" s="449">
        <f t="shared" ref="E96:F96" si="18">SUM(E82:E86)</f>
        <v>408032851.62621242</v>
      </c>
      <c r="F96" s="449">
        <f t="shared" si="18"/>
        <v>197259972</v>
      </c>
      <c r="I96" s="990"/>
    </row>
    <row r="97" spans="1:9" ht="16.5" customHeight="1" x14ac:dyDescent="0.25">
      <c r="A97" s="48" t="s">
        <v>48</v>
      </c>
      <c r="B97" s="64" t="s">
        <v>226</v>
      </c>
      <c r="C97" s="65" t="s">
        <v>227</v>
      </c>
      <c r="D97" s="406">
        <f>'[21]9.sz.mell.'!D96+'[21]10.sz.mell'!D53+'[21]11.sz.mell'!D53+'[21]12.sz.mell'!D53</f>
        <v>114610550</v>
      </c>
      <c r="E97" s="406">
        <f>'[21]9.sz.mell.'!E96+'[21]10.sz.mell'!E53+'[21]11.sz.mell'!E53+'[21]12.sz.mell'!E53</f>
        <v>114610550</v>
      </c>
      <c r="F97" s="406">
        <f>'[21]9.sz.mell.'!F96+'[21]10.sz.mell'!F53+'[21]11.sz.mell'!F53+'[21]12.sz.mell'!F53</f>
        <v>56000</v>
      </c>
      <c r="I97" s="990"/>
    </row>
    <row r="98" spans="1:9" ht="16.5" customHeight="1" x14ac:dyDescent="0.25">
      <c r="A98" s="50" t="s">
        <v>50</v>
      </c>
      <c r="B98" s="66" t="s">
        <v>228</v>
      </c>
      <c r="C98" s="67" t="s">
        <v>229</v>
      </c>
      <c r="D98" s="406">
        <f>'[21]9.sz.mell.'!D97+'[21]10.sz.mell'!D54+'[21]11.sz.mell'!D54+'[21]12.sz.mell'!D54</f>
        <v>43277714</v>
      </c>
      <c r="E98" s="406">
        <f>'[21]9.sz.mell.'!E97+'[21]10.sz.mell'!E54+'[21]11.sz.mell'!E54+'[21]12.sz.mell'!E54</f>
        <v>43277714</v>
      </c>
      <c r="F98" s="406">
        <f>'[21]9.sz.mell.'!F97+'[21]10.sz.mell'!F54+'[21]11.sz.mell'!F54+'[21]12.sz.mell'!F54</f>
        <v>0</v>
      </c>
      <c r="I98" s="990"/>
    </row>
    <row r="99" spans="1:9" ht="16.5" customHeight="1" x14ac:dyDescent="0.25">
      <c r="A99" s="48" t="s">
        <v>53</v>
      </c>
      <c r="B99" s="12" t="s">
        <v>230</v>
      </c>
      <c r="C99" s="13" t="s">
        <v>231</v>
      </c>
      <c r="D99" s="409">
        <f>SUM(D100:D105)</f>
        <v>565000</v>
      </c>
      <c r="E99" s="409">
        <f t="shared" ref="E99" si="19">SUM(E100:E105)</f>
        <v>565000</v>
      </c>
      <c r="F99" s="406">
        <f>'[21]9.sz.mell.'!F98+'[21]10.sz.mell'!F55+'[21]11.sz.mell'!F55+'[21]12.sz.mell'!F55</f>
        <v>0</v>
      </c>
      <c r="I99" s="990"/>
    </row>
    <row r="100" spans="1:9" ht="16.5" customHeight="1" x14ac:dyDescent="0.25">
      <c r="A100" s="50" t="s">
        <v>56</v>
      </c>
      <c r="B100" s="612" t="s">
        <v>232</v>
      </c>
      <c r="C100" s="35" t="s">
        <v>233</v>
      </c>
      <c r="D100" s="609">
        <f>'[21]9.sz.mell.'!D99</f>
        <v>0</v>
      </c>
      <c r="E100" s="609">
        <f>'[21]9.sz.mell.'!E99</f>
        <v>0</v>
      </c>
      <c r="F100" s="406"/>
      <c r="I100" s="990"/>
    </row>
    <row r="101" spans="1:9" ht="16.5" customHeight="1" x14ac:dyDescent="0.25">
      <c r="A101" s="48" t="s">
        <v>59</v>
      </c>
      <c r="B101" s="613" t="s">
        <v>213</v>
      </c>
      <c r="C101" s="35" t="s">
        <v>234</v>
      </c>
      <c r="D101" s="609">
        <f>'[21]9.sz.mell.'!D100</f>
        <v>0</v>
      </c>
      <c r="E101" s="609">
        <f>'[21]9.sz.mell.'!E100</f>
        <v>0</v>
      </c>
      <c r="F101" s="406"/>
      <c r="I101" s="990"/>
    </row>
    <row r="102" spans="1:9" ht="16.5" customHeight="1" x14ac:dyDescent="0.25">
      <c r="A102" s="50" t="s">
        <v>61</v>
      </c>
      <c r="B102" s="613" t="s">
        <v>235</v>
      </c>
      <c r="C102" s="35" t="s">
        <v>236</v>
      </c>
      <c r="D102" s="609">
        <f>'[21]9.sz.mell.'!D101</f>
        <v>0</v>
      </c>
      <c r="E102" s="609">
        <f>'[21]9.sz.mell.'!E101</f>
        <v>0</v>
      </c>
      <c r="F102" s="406"/>
      <c r="I102" s="990"/>
    </row>
    <row r="103" spans="1:9" ht="16.5" customHeight="1" x14ac:dyDescent="0.25">
      <c r="A103" s="48" t="s">
        <v>63</v>
      </c>
      <c r="B103" s="613" t="s">
        <v>237</v>
      </c>
      <c r="C103" s="35" t="s">
        <v>238</v>
      </c>
      <c r="D103" s="609">
        <f>'[21]9.sz.mell.'!D102</f>
        <v>0</v>
      </c>
      <c r="E103" s="609">
        <f>'[21]9.sz.mell.'!E102</f>
        <v>0</v>
      </c>
      <c r="F103" s="406"/>
      <c r="I103" s="990"/>
    </row>
    <row r="104" spans="1:9" ht="16.5" customHeight="1" x14ac:dyDescent="0.25">
      <c r="A104" s="50" t="s">
        <v>65</v>
      </c>
      <c r="B104" s="613" t="s">
        <v>239</v>
      </c>
      <c r="C104" s="35" t="s">
        <v>240</v>
      </c>
      <c r="D104" s="609">
        <f>'[21]9.sz.mell.'!D103</f>
        <v>0</v>
      </c>
      <c r="E104" s="609">
        <f>'[21]9.sz.mell.'!E103</f>
        <v>0</v>
      </c>
      <c r="F104" s="406"/>
      <c r="I104" s="990"/>
    </row>
    <row r="105" spans="1:9" ht="16.5" customHeight="1" x14ac:dyDescent="0.25">
      <c r="A105" s="75" t="s">
        <v>67</v>
      </c>
      <c r="B105" s="614" t="s">
        <v>241</v>
      </c>
      <c r="C105" s="35" t="s">
        <v>242</v>
      </c>
      <c r="D105" s="609">
        <f>'[21]9.sz.mell.'!D104</f>
        <v>565000</v>
      </c>
      <c r="E105" s="609">
        <f>'[21]9.sz.mell.'!E104</f>
        <v>565000</v>
      </c>
      <c r="F105" s="406"/>
      <c r="I105" s="990"/>
    </row>
    <row r="106" spans="1:9" ht="16.5" customHeight="1" x14ac:dyDescent="0.25">
      <c r="A106" s="73" t="s">
        <v>69</v>
      </c>
      <c r="B106" s="74" t="s">
        <v>417</v>
      </c>
      <c r="C106" s="30" t="s">
        <v>243</v>
      </c>
      <c r="D106" s="415">
        <f>+D97+D98+D99</f>
        <v>158453264</v>
      </c>
      <c r="E106" s="415">
        <f>+E97+E98+E99</f>
        <v>158453264</v>
      </c>
      <c r="F106" s="415">
        <f>+F97+F98+F99</f>
        <v>56000</v>
      </c>
      <c r="I106" s="990"/>
    </row>
    <row r="107" spans="1:9" ht="23.25" customHeight="1" x14ac:dyDescent="0.25">
      <c r="A107" s="76" t="s">
        <v>71</v>
      </c>
      <c r="B107" s="47" t="s">
        <v>244</v>
      </c>
      <c r="C107" s="30" t="s">
        <v>245</v>
      </c>
      <c r="D107" s="453">
        <f>SUM(D96+D106)</f>
        <v>551698758.77223158</v>
      </c>
      <c r="E107" s="453">
        <f t="shared" ref="E107:F107" si="20">SUM(E96+E106)</f>
        <v>566486115.62621236</v>
      </c>
      <c r="F107" s="453">
        <f t="shared" si="20"/>
        <v>197315972</v>
      </c>
      <c r="I107" s="990"/>
    </row>
    <row r="108" spans="1:9" ht="16.5" customHeight="1" x14ac:dyDescent="0.25">
      <c r="A108" s="77" t="s">
        <v>74</v>
      </c>
      <c r="B108" s="78" t="s">
        <v>246</v>
      </c>
      <c r="C108" s="79" t="s">
        <v>247</v>
      </c>
      <c r="D108" s="615">
        <f>'[21]9.sz.mell.'!D107</f>
        <v>0</v>
      </c>
      <c r="E108" s="615">
        <f>'[21]9.sz.mell.'!E107</f>
        <v>0</v>
      </c>
      <c r="F108" s="615">
        <f>'[21]9.sz.mell.'!F107</f>
        <v>0</v>
      </c>
    </row>
    <row r="109" spans="1:9" ht="16.5" customHeight="1" x14ac:dyDescent="0.25">
      <c r="A109" s="50" t="s">
        <v>77</v>
      </c>
      <c r="B109" s="80" t="s">
        <v>248</v>
      </c>
      <c r="C109" s="67" t="s">
        <v>249</v>
      </c>
      <c r="D109" s="426">
        <f>'[21]9.sz.mell.'!D108</f>
        <v>0</v>
      </c>
      <c r="E109" s="426">
        <f>'[21]9.sz.mell.'!E108</f>
        <v>0</v>
      </c>
      <c r="F109" s="426">
        <f>'[21]9.sz.mell.'!F108</f>
        <v>0</v>
      </c>
    </row>
    <row r="110" spans="1:9" ht="16.5" customHeight="1" x14ac:dyDescent="0.25">
      <c r="A110" s="81" t="s">
        <v>80</v>
      </c>
      <c r="B110" s="80" t="s">
        <v>250</v>
      </c>
      <c r="C110" s="67" t="s">
        <v>251</v>
      </c>
      <c r="D110" s="452">
        <f>'[21]9.sz.mell.'!D109</f>
        <v>6750837</v>
      </c>
      <c r="E110" s="452">
        <f>'[21]9.sz.mell.'!E109</f>
        <v>6750837</v>
      </c>
      <c r="F110" s="452">
        <f>'[21]9.sz.mell.'!F109</f>
        <v>6750837</v>
      </c>
    </row>
    <row r="111" spans="1:9" ht="16.5" customHeight="1" x14ac:dyDescent="0.25">
      <c r="A111" s="50" t="s">
        <v>82</v>
      </c>
      <c r="B111" s="80" t="s">
        <v>252</v>
      </c>
      <c r="C111" s="67" t="s">
        <v>253</v>
      </c>
      <c r="D111" s="409"/>
      <c r="E111" s="409"/>
      <c r="F111" s="409"/>
    </row>
    <row r="112" spans="1:9" ht="24.75" customHeight="1" x14ac:dyDescent="0.25">
      <c r="A112" s="82" t="s">
        <v>84</v>
      </c>
      <c r="B112" s="29" t="s">
        <v>254</v>
      </c>
      <c r="C112" s="30" t="s">
        <v>255</v>
      </c>
      <c r="D112" s="433">
        <f>SUM(D108:D111)</f>
        <v>6750837</v>
      </c>
      <c r="E112" s="433">
        <f t="shared" ref="E112" si="21">SUM(E108:E111)</f>
        <v>6750837</v>
      </c>
      <c r="F112" s="433">
        <f>SUM(F108:F111)</f>
        <v>6750837</v>
      </c>
      <c r="G112" s="84"/>
    </row>
    <row r="113" spans="1:11" s="10" customFormat="1" ht="27.75" customHeight="1" x14ac:dyDescent="0.2">
      <c r="A113" s="85">
        <v>32</v>
      </c>
      <c r="B113" s="22" t="s">
        <v>256</v>
      </c>
      <c r="C113" s="86" t="s">
        <v>257</v>
      </c>
      <c r="D113" s="433">
        <f>D107+D112</f>
        <v>558449595.77223158</v>
      </c>
      <c r="E113" s="433">
        <f t="shared" ref="E113" si="22">E107+E112</f>
        <v>573236952.62621236</v>
      </c>
      <c r="F113" s="433">
        <f>F107+F112</f>
        <v>204066809</v>
      </c>
    </row>
    <row r="114" spans="1:11" ht="16.5" customHeight="1" x14ac:dyDescent="0.25">
      <c r="D114" s="440"/>
      <c r="E114" s="440"/>
      <c r="F114" s="440"/>
    </row>
    <row r="115" spans="1:11" ht="16.5" customHeight="1" x14ac:dyDescent="0.25">
      <c r="F115" s="990"/>
    </row>
    <row r="116" spans="1:11" ht="30.75" customHeight="1" x14ac:dyDescent="0.25">
      <c r="A116" s="1107" t="s">
        <v>258</v>
      </c>
      <c r="B116" s="1107"/>
      <c r="C116" s="1107"/>
      <c r="D116" s="1107"/>
      <c r="E116" s="1207"/>
      <c r="F116" s="1207"/>
      <c r="J116" s="1207"/>
      <c r="K116" s="1207"/>
    </row>
    <row r="117" spans="1:11" ht="15" customHeight="1" x14ac:dyDescent="0.25">
      <c r="A117" s="1103"/>
      <c r="B117" s="1103"/>
      <c r="C117" s="1091"/>
      <c r="D117" s="89"/>
    </row>
    <row r="118" spans="1:11" ht="29.25" customHeight="1" x14ac:dyDescent="0.25">
      <c r="A118" s="90">
        <v>1</v>
      </c>
      <c r="B118" s="1099" t="s">
        <v>259</v>
      </c>
      <c r="C118" s="1100"/>
      <c r="D118" s="91">
        <f>D70-D107</f>
        <v>-16057447.438898206</v>
      </c>
      <c r="F118" s="997"/>
      <c r="K118" s="990"/>
    </row>
    <row r="119" spans="1:11" ht="29.25" customHeight="1" x14ac:dyDescent="0.25">
      <c r="A119" s="92" t="s">
        <v>12</v>
      </c>
      <c r="B119" s="1101" t="s">
        <v>715</v>
      </c>
      <c r="C119" s="1102"/>
      <c r="D119" s="93">
        <f>D76-D112</f>
        <v>16057448</v>
      </c>
    </row>
    <row r="120" spans="1:11" x14ac:dyDescent="0.25">
      <c r="E120" s="1208"/>
    </row>
    <row r="121" spans="1:11" x14ac:dyDescent="0.25">
      <c r="D121" s="440"/>
      <c r="E121" s="1209"/>
    </row>
    <row r="122" spans="1:11" x14ac:dyDescent="0.25">
      <c r="D122" s="1210"/>
      <c r="E122" s="1211"/>
    </row>
    <row r="123" spans="1:11" x14ac:dyDescent="0.25">
      <c r="E123" s="1208"/>
    </row>
    <row r="124" spans="1:11" x14ac:dyDescent="0.25">
      <c r="D124" s="994"/>
    </row>
    <row r="125" spans="1:11" x14ac:dyDescent="0.25">
      <c r="D125" s="994"/>
    </row>
    <row r="126" spans="1:11" x14ac:dyDescent="0.25">
      <c r="D126" s="994"/>
    </row>
    <row r="128" spans="1:11" x14ac:dyDescent="0.25">
      <c r="D128" s="1210"/>
    </row>
    <row r="129" spans="4:6" x14ac:dyDescent="0.25">
      <c r="D129" s="994"/>
    </row>
    <row r="130" spans="4:6" x14ac:dyDescent="0.25">
      <c r="D130" s="994"/>
    </row>
    <row r="131" spans="4:6" x14ac:dyDescent="0.25">
      <c r="D131" s="994"/>
    </row>
    <row r="137" spans="4:6" x14ac:dyDescent="0.25">
      <c r="D137" s="1210"/>
    </row>
    <row r="138" spans="4:6" x14ac:dyDescent="0.25">
      <c r="F138" s="994"/>
    </row>
    <row r="139" spans="4:6" x14ac:dyDescent="0.25">
      <c r="F139" s="88"/>
    </row>
    <row r="140" spans="4:6" x14ac:dyDescent="0.25">
      <c r="D140" s="1210"/>
    </row>
  </sheetData>
  <mergeCells count="9">
    <mergeCell ref="A117:B117"/>
    <mergeCell ref="B118:C118"/>
    <mergeCell ref="B119:C119"/>
    <mergeCell ref="A1:F1"/>
    <mergeCell ref="A2:F2"/>
    <mergeCell ref="A3:B3"/>
    <mergeCell ref="A78:D78"/>
    <mergeCell ref="A79:D79"/>
    <mergeCell ref="A116:D1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1E94-04CD-4827-BAE1-F89FD35E488D}">
  <dimension ref="A1:G62"/>
  <sheetViews>
    <sheetView topLeftCell="A34" workbookViewId="0">
      <selection activeCell="A10" sqref="A1:XFD1048576"/>
    </sheetView>
  </sheetViews>
  <sheetFormatPr defaultRowHeight="12.75" x14ac:dyDescent="0.2"/>
  <cols>
    <col min="1" max="1" width="6.83203125" style="1323" customWidth="1"/>
    <col min="2" max="2" width="60.1640625" style="1324" customWidth="1"/>
    <col min="3" max="3" width="8.1640625" style="1324" customWidth="1"/>
    <col min="4" max="6" width="14.5" style="1325" customWidth="1"/>
    <col min="7" max="251" width="9.33203125" style="248"/>
    <col min="252" max="252" width="6.83203125" style="248" customWidth="1"/>
    <col min="253" max="253" width="60.1640625" style="248" customWidth="1"/>
    <col min="254" max="254" width="8.1640625" style="248" customWidth="1"/>
    <col min="255" max="257" width="14.5" style="248" customWidth="1"/>
    <col min="258" max="507" width="9.33203125" style="248"/>
    <col min="508" max="508" width="6.83203125" style="248" customWidth="1"/>
    <col min="509" max="509" width="60.1640625" style="248" customWidth="1"/>
    <col min="510" max="510" width="8.1640625" style="248" customWidth="1"/>
    <col min="511" max="513" width="14.5" style="248" customWidth="1"/>
    <col min="514" max="763" width="9.33203125" style="248"/>
    <col min="764" max="764" width="6.83203125" style="248" customWidth="1"/>
    <col min="765" max="765" width="60.1640625" style="248" customWidth="1"/>
    <col min="766" max="766" width="8.1640625" style="248" customWidth="1"/>
    <col min="767" max="769" width="14.5" style="248" customWidth="1"/>
    <col min="770" max="1019" width="9.33203125" style="248"/>
    <col min="1020" max="1020" width="6.83203125" style="248" customWidth="1"/>
    <col min="1021" max="1021" width="60.1640625" style="248" customWidth="1"/>
    <col min="1022" max="1022" width="8.1640625" style="248" customWidth="1"/>
    <col min="1023" max="1025" width="14.5" style="248" customWidth="1"/>
    <col min="1026" max="1275" width="9.33203125" style="248"/>
    <col min="1276" max="1276" width="6.83203125" style="248" customWidth="1"/>
    <col min="1277" max="1277" width="60.1640625" style="248" customWidth="1"/>
    <col min="1278" max="1278" width="8.1640625" style="248" customWidth="1"/>
    <col min="1279" max="1281" width="14.5" style="248" customWidth="1"/>
    <col min="1282" max="1531" width="9.33203125" style="248"/>
    <col min="1532" max="1532" width="6.83203125" style="248" customWidth="1"/>
    <col min="1533" max="1533" width="60.1640625" style="248" customWidth="1"/>
    <col min="1534" max="1534" width="8.1640625" style="248" customWidth="1"/>
    <col min="1535" max="1537" width="14.5" style="248" customWidth="1"/>
    <col min="1538" max="1787" width="9.33203125" style="248"/>
    <col min="1788" max="1788" width="6.83203125" style="248" customWidth="1"/>
    <col min="1789" max="1789" width="60.1640625" style="248" customWidth="1"/>
    <col min="1790" max="1790" width="8.1640625" style="248" customWidth="1"/>
    <col min="1791" max="1793" width="14.5" style="248" customWidth="1"/>
    <col min="1794" max="2043" width="9.33203125" style="248"/>
    <col min="2044" max="2044" width="6.83203125" style="248" customWidth="1"/>
    <col min="2045" max="2045" width="60.1640625" style="248" customWidth="1"/>
    <col min="2046" max="2046" width="8.1640625" style="248" customWidth="1"/>
    <col min="2047" max="2049" width="14.5" style="248" customWidth="1"/>
    <col min="2050" max="2299" width="9.33203125" style="248"/>
    <col min="2300" max="2300" width="6.83203125" style="248" customWidth="1"/>
    <col min="2301" max="2301" width="60.1640625" style="248" customWidth="1"/>
    <col min="2302" max="2302" width="8.1640625" style="248" customWidth="1"/>
    <col min="2303" max="2305" width="14.5" style="248" customWidth="1"/>
    <col min="2306" max="2555" width="9.33203125" style="248"/>
    <col min="2556" max="2556" width="6.83203125" style="248" customWidth="1"/>
    <col min="2557" max="2557" width="60.1640625" style="248" customWidth="1"/>
    <col min="2558" max="2558" width="8.1640625" style="248" customWidth="1"/>
    <col min="2559" max="2561" width="14.5" style="248" customWidth="1"/>
    <col min="2562" max="2811" width="9.33203125" style="248"/>
    <col min="2812" max="2812" width="6.83203125" style="248" customWidth="1"/>
    <col min="2813" max="2813" width="60.1640625" style="248" customWidth="1"/>
    <col min="2814" max="2814" width="8.1640625" style="248" customWidth="1"/>
    <col min="2815" max="2817" width="14.5" style="248" customWidth="1"/>
    <col min="2818" max="3067" width="9.33203125" style="248"/>
    <col min="3068" max="3068" width="6.83203125" style="248" customWidth="1"/>
    <col min="3069" max="3069" width="60.1640625" style="248" customWidth="1"/>
    <col min="3070" max="3070" width="8.1640625" style="248" customWidth="1"/>
    <col min="3071" max="3073" width="14.5" style="248" customWidth="1"/>
    <col min="3074" max="3323" width="9.33203125" style="248"/>
    <col min="3324" max="3324" width="6.83203125" style="248" customWidth="1"/>
    <col min="3325" max="3325" width="60.1640625" style="248" customWidth="1"/>
    <col min="3326" max="3326" width="8.1640625" style="248" customWidth="1"/>
    <col min="3327" max="3329" width="14.5" style="248" customWidth="1"/>
    <col min="3330" max="3579" width="9.33203125" style="248"/>
    <col min="3580" max="3580" width="6.83203125" style="248" customWidth="1"/>
    <col min="3581" max="3581" width="60.1640625" style="248" customWidth="1"/>
    <col min="3582" max="3582" width="8.1640625" style="248" customWidth="1"/>
    <col min="3583" max="3585" width="14.5" style="248" customWidth="1"/>
    <col min="3586" max="3835" width="9.33203125" style="248"/>
    <col min="3836" max="3836" width="6.83203125" style="248" customWidth="1"/>
    <col min="3837" max="3837" width="60.1640625" style="248" customWidth="1"/>
    <col min="3838" max="3838" width="8.1640625" style="248" customWidth="1"/>
    <col min="3839" max="3841" width="14.5" style="248" customWidth="1"/>
    <col min="3842" max="4091" width="9.33203125" style="248"/>
    <col min="4092" max="4092" width="6.83203125" style="248" customWidth="1"/>
    <col min="4093" max="4093" width="60.1640625" style="248" customWidth="1"/>
    <col min="4094" max="4094" width="8.1640625" style="248" customWidth="1"/>
    <col min="4095" max="4097" width="14.5" style="248" customWidth="1"/>
    <col min="4098" max="4347" width="9.33203125" style="248"/>
    <col min="4348" max="4348" width="6.83203125" style="248" customWidth="1"/>
    <col min="4349" max="4349" width="60.1640625" style="248" customWidth="1"/>
    <col min="4350" max="4350" width="8.1640625" style="248" customWidth="1"/>
    <col min="4351" max="4353" width="14.5" style="248" customWidth="1"/>
    <col min="4354" max="4603" width="9.33203125" style="248"/>
    <col min="4604" max="4604" width="6.83203125" style="248" customWidth="1"/>
    <col min="4605" max="4605" width="60.1640625" style="248" customWidth="1"/>
    <col min="4606" max="4606" width="8.1640625" style="248" customWidth="1"/>
    <col min="4607" max="4609" width="14.5" style="248" customWidth="1"/>
    <col min="4610" max="4859" width="9.33203125" style="248"/>
    <col min="4860" max="4860" width="6.83203125" style="248" customWidth="1"/>
    <col min="4861" max="4861" width="60.1640625" style="248" customWidth="1"/>
    <col min="4862" max="4862" width="8.1640625" style="248" customWidth="1"/>
    <col min="4863" max="4865" width="14.5" style="248" customWidth="1"/>
    <col min="4866" max="5115" width="9.33203125" style="248"/>
    <col min="5116" max="5116" width="6.83203125" style="248" customWidth="1"/>
    <col min="5117" max="5117" width="60.1640625" style="248" customWidth="1"/>
    <col min="5118" max="5118" width="8.1640625" style="248" customWidth="1"/>
    <col min="5119" max="5121" width="14.5" style="248" customWidth="1"/>
    <col min="5122" max="5371" width="9.33203125" style="248"/>
    <col min="5372" max="5372" width="6.83203125" style="248" customWidth="1"/>
    <col min="5373" max="5373" width="60.1640625" style="248" customWidth="1"/>
    <col min="5374" max="5374" width="8.1640625" style="248" customWidth="1"/>
    <col min="5375" max="5377" width="14.5" style="248" customWidth="1"/>
    <col min="5378" max="5627" width="9.33203125" style="248"/>
    <col min="5628" max="5628" width="6.83203125" style="248" customWidth="1"/>
    <col min="5629" max="5629" width="60.1640625" style="248" customWidth="1"/>
    <col min="5630" max="5630" width="8.1640625" style="248" customWidth="1"/>
    <col min="5631" max="5633" width="14.5" style="248" customWidth="1"/>
    <col min="5634" max="5883" width="9.33203125" style="248"/>
    <col min="5884" max="5884" width="6.83203125" style="248" customWidth="1"/>
    <col min="5885" max="5885" width="60.1640625" style="248" customWidth="1"/>
    <col min="5886" max="5886" width="8.1640625" style="248" customWidth="1"/>
    <col min="5887" max="5889" width="14.5" style="248" customWidth="1"/>
    <col min="5890" max="6139" width="9.33203125" style="248"/>
    <col min="6140" max="6140" width="6.83203125" style="248" customWidth="1"/>
    <col min="6141" max="6141" width="60.1640625" style="248" customWidth="1"/>
    <col min="6142" max="6142" width="8.1640625" style="248" customWidth="1"/>
    <col min="6143" max="6145" width="14.5" style="248" customWidth="1"/>
    <col min="6146" max="6395" width="9.33203125" style="248"/>
    <col min="6396" max="6396" width="6.83203125" style="248" customWidth="1"/>
    <col min="6397" max="6397" width="60.1640625" style="248" customWidth="1"/>
    <col min="6398" max="6398" width="8.1640625" style="248" customWidth="1"/>
    <col min="6399" max="6401" width="14.5" style="248" customWidth="1"/>
    <col min="6402" max="6651" width="9.33203125" style="248"/>
    <col min="6652" max="6652" width="6.83203125" style="248" customWidth="1"/>
    <col min="6653" max="6653" width="60.1640625" style="248" customWidth="1"/>
    <col min="6654" max="6654" width="8.1640625" style="248" customWidth="1"/>
    <col min="6655" max="6657" width="14.5" style="248" customWidth="1"/>
    <col min="6658" max="6907" width="9.33203125" style="248"/>
    <col min="6908" max="6908" width="6.83203125" style="248" customWidth="1"/>
    <col min="6909" max="6909" width="60.1640625" style="248" customWidth="1"/>
    <col min="6910" max="6910" width="8.1640625" style="248" customWidth="1"/>
    <col min="6911" max="6913" width="14.5" style="248" customWidth="1"/>
    <col min="6914" max="7163" width="9.33203125" style="248"/>
    <col min="7164" max="7164" width="6.83203125" style="248" customWidth="1"/>
    <col min="7165" max="7165" width="60.1640625" style="248" customWidth="1"/>
    <col min="7166" max="7166" width="8.1640625" style="248" customWidth="1"/>
    <col min="7167" max="7169" width="14.5" style="248" customWidth="1"/>
    <col min="7170" max="7419" width="9.33203125" style="248"/>
    <col min="7420" max="7420" width="6.83203125" style="248" customWidth="1"/>
    <col min="7421" max="7421" width="60.1640625" style="248" customWidth="1"/>
    <col min="7422" max="7422" width="8.1640625" style="248" customWidth="1"/>
    <col min="7423" max="7425" width="14.5" style="248" customWidth="1"/>
    <col min="7426" max="7675" width="9.33203125" style="248"/>
    <col min="7676" max="7676" width="6.83203125" style="248" customWidth="1"/>
    <col min="7677" max="7677" width="60.1640625" style="248" customWidth="1"/>
    <col min="7678" max="7678" width="8.1640625" style="248" customWidth="1"/>
    <col min="7679" max="7681" width="14.5" style="248" customWidth="1"/>
    <col min="7682" max="7931" width="9.33203125" style="248"/>
    <col min="7932" max="7932" width="6.83203125" style="248" customWidth="1"/>
    <col min="7933" max="7933" width="60.1640625" style="248" customWidth="1"/>
    <col min="7934" max="7934" width="8.1640625" style="248" customWidth="1"/>
    <col min="7935" max="7937" width="14.5" style="248" customWidth="1"/>
    <col min="7938" max="8187" width="9.33203125" style="248"/>
    <col min="8188" max="8188" width="6.83203125" style="248" customWidth="1"/>
    <col min="8189" max="8189" width="60.1640625" style="248" customWidth="1"/>
    <col min="8190" max="8190" width="8.1640625" style="248" customWidth="1"/>
    <col min="8191" max="8193" width="14.5" style="248" customWidth="1"/>
    <col min="8194" max="8443" width="9.33203125" style="248"/>
    <col min="8444" max="8444" width="6.83203125" style="248" customWidth="1"/>
    <col min="8445" max="8445" width="60.1640625" style="248" customWidth="1"/>
    <col min="8446" max="8446" width="8.1640625" style="248" customWidth="1"/>
    <col min="8447" max="8449" width="14.5" style="248" customWidth="1"/>
    <col min="8450" max="8699" width="9.33203125" style="248"/>
    <col min="8700" max="8700" width="6.83203125" style="248" customWidth="1"/>
    <col min="8701" max="8701" width="60.1640625" style="248" customWidth="1"/>
    <col min="8702" max="8702" width="8.1640625" style="248" customWidth="1"/>
    <col min="8703" max="8705" width="14.5" style="248" customWidth="1"/>
    <col min="8706" max="8955" width="9.33203125" style="248"/>
    <col min="8956" max="8956" width="6.83203125" style="248" customWidth="1"/>
    <col min="8957" max="8957" width="60.1640625" style="248" customWidth="1"/>
    <col min="8958" max="8958" width="8.1640625" style="248" customWidth="1"/>
    <col min="8959" max="8961" width="14.5" style="248" customWidth="1"/>
    <col min="8962" max="9211" width="9.33203125" style="248"/>
    <col min="9212" max="9212" width="6.83203125" style="248" customWidth="1"/>
    <col min="9213" max="9213" width="60.1640625" style="248" customWidth="1"/>
    <col min="9214" max="9214" width="8.1640625" style="248" customWidth="1"/>
    <col min="9215" max="9217" width="14.5" style="248" customWidth="1"/>
    <col min="9218" max="9467" width="9.33203125" style="248"/>
    <col min="9468" max="9468" width="6.83203125" style="248" customWidth="1"/>
    <col min="9469" max="9469" width="60.1640625" style="248" customWidth="1"/>
    <col min="9470" max="9470" width="8.1640625" style="248" customWidth="1"/>
    <col min="9471" max="9473" width="14.5" style="248" customWidth="1"/>
    <col min="9474" max="9723" width="9.33203125" style="248"/>
    <col min="9724" max="9724" width="6.83203125" style="248" customWidth="1"/>
    <col min="9725" max="9725" width="60.1640625" style="248" customWidth="1"/>
    <col min="9726" max="9726" width="8.1640625" style="248" customWidth="1"/>
    <col min="9727" max="9729" width="14.5" style="248" customWidth="1"/>
    <col min="9730" max="9979" width="9.33203125" style="248"/>
    <col min="9980" max="9980" width="6.83203125" style="248" customWidth="1"/>
    <col min="9981" max="9981" width="60.1640625" style="248" customWidth="1"/>
    <col min="9982" max="9982" width="8.1640625" style="248" customWidth="1"/>
    <col min="9983" max="9985" width="14.5" style="248" customWidth="1"/>
    <col min="9986" max="10235" width="9.33203125" style="248"/>
    <col min="10236" max="10236" width="6.83203125" style="248" customWidth="1"/>
    <col min="10237" max="10237" width="60.1640625" style="248" customWidth="1"/>
    <col min="10238" max="10238" width="8.1640625" style="248" customWidth="1"/>
    <col min="10239" max="10241" width="14.5" style="248" customWidth="1"/>
    <col min="10242" max="10491" width="9.33203125" style="248"/>
    <col min="10492" max="10492" width="6.83203125" style="248" customWidth="1"/>
    <col min="10493" max="10493" width="60.1640625" style="248" customWidth="1"/>
    <col min="10494" max="10494" width="8.1640625" style="248" customWidth="1"/>
    <col min="10495" max="10497" width="14.5" style="248" customWidth="1"/>
    <col min="10498" max="10747" width="9.33203125" style="248"/>
    <col min="10748" max="10748" width="6.83203125" style="248" customWidth="1"/>
    <col min="10749" max="10749" width="60.1640625" style="248" customWidth="1"/>
    <col min="10750" max="10750" width="8.1640625" style="248" customWidth="1"/>
    <col min="10751" max="10753" width="14.5" style="248" customWidth="1"/>
    <col min="10754" max="11003" width="9.33203125" style="248"/>
    <col min="11004" max="11004" width="6.83203125" style="248" customWidth="1"/>
    <col min="11005" max="11005" width="60.1640625" style="248" customWidth="1"/>
    <col min="11006" max="11006" width="8.1640625" style="248" customWidth="1"/>
    <col min="11007" max="11009" width="14.5" style="248" customWidth="1"/>
    <col min="11010" max="11259" width="9.33203125" style="248"/>
    <col min="11260" max="11260" width="6.83203125" style="248" customWidth="1"/>
    <col min="11261" max="11261" width="60.1640625" style="248" customWidth="1"/>
    <col min="11262" max="11262" width="8.1640625" style="248" customWidth="1"/>
    <col min="11263" max="11265" width="14.5" style="248" customWidth="1"/>
    <col min="11266" max="11515" width="9.33203125" style="248"/>
    <col min="11516" max="11516" width="6.83203125" style="248" customWidth="1"/>
    <col min="11517" max="11517" width="60.1640625" style="248" customWidth="1"/>
    <col min="11518" max="11518" width="8.1640625" style="248" customWidth="1"/>
    <col min="11519" max="11521" width="14.5" style="248" customWidth="1"/>
    <col min="11522" max="11771" width="9.33203125" style="248"/>
    <col min="11772" max="11772" width="6.83203125" style="248" customWidth="1"/>
    <col min="11773" max="11773" width="60.1640625" style="248" customWidth="1"/>
    <col min="11774" max="11774" width="8.1640625" style="248" customWidth="1"/>
    <col min="11775" max="11777" width="14.5" style="248" customWidth="1"/>
    <col min="11778" max="12027" width="9.33203125" style="248"/>
    <col min="12028" max="12028" width="6.83203125" style="248" customWidth="1"/>
    <col min="12029" max="12029" width="60.1640625" style="248" customWidth="1"/>
    <col min="12030" max="12030" width="8.1640625" style="248" customWidth="1"/>
    <col min="12031" max="12033" width="14.5" style="248" customWidth="1"/>
    <col min="12034" max="12283" width="9.33203125" style="248"/>
    <col min="12284" max="12284" width="6.83203125" style="248" customWidth="1"/>
    <col min="12285" max="12285" width="60.1640625" style="248" customWidth="1"/>
    <col min="12286" max="12286" width="8.1640625" style="248" customWidth="1"/>
    <col min="12287" max="12289" width="14.5" style="248" customWidth="1"/>
    <col min="12290" max="12539" width="9.33203125" style="248"/>
    <col min="12540" max="12540" width="6.83203125" style="248" customWidth="1"/>
    <col min="12541" max="12541" width="60.1640625" style="248" customWidth="1"/>
    <col min="12542" max="12542" width="8.1640625" style="248" customWidth="1"/>
    <col min="12543" max="12545" width="14.5" style="248" customWidth="1"/>
    <col min="12546" max="12795" width="9.33203125" style="248"/>
    <col min="12796" max="12796" width="6.83203125" style="248" customWidth="1"/>
    <col min="12797" max="12797" width="60.1640625" style="248" customWidth="1"/>
    <col min="12798" max="12798" width="8.1640625" style="248" customWidth="1"/>
    <col min="12799" max="12801" width="14.5" style="248" customWidth="1"/>
    <col min="12802" max="13051" width="9.33203125" style="248"/>
    <col min="13052" max="13052" width="6.83203125" style="248" customWidth="1"/>
    <col min="13053" max="13053" width="60.1640625" style="248" customWidth="1"/>
    <col min="13054" max="13054" width="8.1640625" style="248" customWidth="1"/>
    <col min="13055" max="13057" width="14.5" style="248" customWidth="1"/>
    <col min="13058" max="13307" width="9.33203125" style="248"/>
    <col min="13308" max="13308" width="6.83203125" style="248" customWidth="1"/>
    <col min="13309" max="13309" width="60.1640625" style="248" customWidth="1"/>
    <col min="13310" max="13310" width="8.1640625" style="248" customWidth="1"/>
    <col min="13311" max="13313" width="14.5" style="248" customWidth="1"/>
    <col min="13314" max="13563" width="9.33203125" style="248"/>
    <col min="13564" max="13564" width="6.83203125" style="248" customWidth="1"/>
    <col min="13565" max="13565" width="60.1640625" style="248" customWidth="1"/>
    <col min="13566" max="13566" width="8.1640625" style="248" customWidth="1"/>
    <col min="13567" max="13569" width="14.5" style="248" customWidth="1"/>
    <col min="13570" max="13819" width="9.33203125" style="248"/>
    <col min="13820" max="13820" width="6.83203125" style="248" customWidth="1"/>
    <col min="13821" max="13821" width="60.1640625" style="248" customWidth="1"/>
    <col min="13822" max="13822" width="8.1640625" style="248" customWidth="1"/>
    <col min="13823" max="13825" width="14.5" style="248" customWidth="1"/>
    <col min="13826" max="14075" width="9.33203125" style="248"/>
    <col min="14076" max="14076" width="6.83203125" style="248" customWidth="1"/>
    <col min="14077" max="14077" width="60.1640625" style="248" customWidth="1"/>
    <col min="14078" max="14078" width="8.1640625" style="248" customWidth="1"/>
    <col min="14079" max="14081" width="14.5" style="248" customWidth="1"/>
    <col min="14082" max="14331" width="9.33203125" style="248"/>
    <col min="14332" max="14332" width="6.83203125" style="248" customWidth="1"/>
    <col min="14333" max="14333" width="60.1640625" style="248" customWidth="1"/>
    <col min="14334" max="14334" width="8.1640625" style="248" customWidth="1"/>
    <col min="14335" max="14337" width="14.5" style="248" customWidth="1"/>
    <col min="14338" max="14587" width="9.33203125" style="248"/>
    <col min="14588" max="14588" width="6.83203125" style="248" customWidth="1"/>
    <col min="14589" max="14589" width="60.1640625" style="248" customWidth="1"/>
    <col min="14590" max="14590" width="8.1640625" style="248" customWidth="1"/>
    <col min="14591" max="14593" width="14.5" style="248" customWidth="1"/>
    <col min="14594" max="14843" width="9.33203125" style="248"/>
    <col min="14844" max="14844" width="6.83203125" style="248" customWidth="1"/>
    <col min="14845" max="14845" width="60.1640625" style="248" customWidth="1"/>
    <col min="14846" max="14846" width="8.1640625" style="248" customWidth="1"/>
    <col min="14847" max="14849" width="14.5" style="248" customWidth="1"/>
    <col min="14850" max="15099" width="9.33203125" style="248"/>
    <col min="15100" max="15100" width="6.83203125" style="248" customWidth="1"/>
    <col min="15101" max="15101" width="60.1640625" style="248" customWidth="1"/>
    <col min="15102" max="15102" width="8.1640625" style="248" customWidth="1"/>
    <col min="15103" max="15105" width="14.5" style="248" customWidth="1"/>
    <col min="15106" max="15355" width="9.33203125" style="248"/>
    <col min="15356" max="15356" width="6.83203125" style="248" customWidth="1"/>
    <col min="15357" max="15357" width="60.1640625" style="248" customWidth="1"/>
    <col min="15358" max="15358" width="8.1640625" style="248" customWidth="1"/>
    <col min="15359" max="15361" width="14.5" style="248" customWidth="1"/>
    <col min="15362" max="15611" width="9.33203125" style="248"/>
    <col min="15612" max="15612" width="6.83203125" style="248" customWidth="1"/>
    <col min="15613" max="15613" width="60.1640625" style="248" customWidth="1"/>
    <col min="15614" max="15614" width="8.1640625" style="248" customWidth="1"/>
    <col min="15615" max="15617" width="14.5" style="248" customWidth="1"/>
    <col min="15618" max="15867" width="9.33203125" style="248"/>
    <col min="15868" max="15868" width="6.83203125" style="248" customWidth="1"/>
    <col min="15869" max="15869" width="60.1640625" style="248" customWidth="1"/>
    <col min="15870" max="15870" width="8.1640625" style="248" customWidth="1"/>
    <col min="15871" max="15873" width="14.5" style="248" customWidth="1"/>
    <col min="15874" max="16123" width="9.33203125" style="248"/>
    <col min="16124" max="16124" width="6.83203125" style="248" customWidth="1"/>
    <col min="16125" max="16125" width="60.1640625" style="248" customWidth="1"/>
    <col min="16126" max="16126" width="8.1640625" style="248" customWidth="1"/>
    <col min="16127" max="16129" width="14.5" style="248" customWidth="1"/>
    <col min="16130" max="16384" width="9.33203125" style="248"/>
  </cols>
  <sheetData>
    <row r="1" spans="1:6" s="242" customFormat="1" ht="51.75" customHeight="1" x14ac:dyDescent="0.2">
      <c r="A1" s="1169" t="s">
        <v>738</v>
      </c>
      <c r="B1" s="1170"/>
      <c r="C1" s="1170"/>
      <c r="D1" s="1170"/>
      <c r="E1" s="1170"/>
      <c r="F1" s="1170"/>
    </row>
    <row r="2" spans="1:6" s="245" customFormat="1" ht="12" customHeight="1" x14ac:dyDescent="0.2">
      <c r="A2" s="243"/>
      <c r="B2" s="243"/>
      <c r="C2" s="244"/>
      <c r="D2" s="244"/>
      <c r="E2" s="244"/>
      <c r="F2" s="244" t="s">
        <v>1</v>
      </c>
    </row>
    <row r="3" spans="1:6" ht="38.25" customHeight="1" x14ac:dyDescent="0.2">
      <c r="A3" s="246" t="s">
        <v>365</v>
      </c>
      <c r="B3" s="246" t="s">
        <v>420</v>
      </c>
      <c r="C3" s="247" t="s">
        <v>421</v>
      </c>
      <c r="D3" s="247" t="s">
        <v>500</v>
      </c>
      <c r="E3" s="247" t="s">
        <v>936</v>
      </c>
      <c r="F3" s="247" t="s">
        <v>937</v>
      </c>
    </row>
    <row r="4" spans="1:6" s="250" customFormat="1" ht="12.95" customHeight="1" x14ac:dyDescent="0.2">
      <c r="A4" s="249" t="s">
        <v>5</v>
      </c>
      <c r="B4" s="249" t="s">
        <v>6</v>
      </c>
      <c r="C4" s="249" t="s">
        <v>7</v>
      </c>
      <c r="D4" s="713" t="s">
        <v>8</v>
      </c>
      <c r="E4" s="714" t="s">
        <v>263</v>
      </c>
      <c r="F4" s="249" t="s">
        <v>714</v>
      </c>
    </row>
    <row r="5" spans="1:6" s="250" customFormat="1" ht="15.95" customHeight="1" x14ac:dyDescent="0.2">
      <c r="A5" s="1171" t="s">
        <v>260</v>
      </c>
      <c r="B5" s="1172"/>
      <c r="C5" s="1172"/>
      <c r="D5" s="1172"/>
      <c r="E5" s="1172"/>
      <c r="F5" s="1173"/>
    </row>
    <row r="6" spans="1:6" s="250" customFormat="1" ht="25.5" customHeight="1" x14ac:dyDescent="0.2">
      <c r="A6" s="251" t="s">
        <v>9</v>
      </c>
      <c r="B6" s="252" t="s">
        <v>423</v>
      </c>
      <c r="C6" s="251" t="s">
        <v>424</v>
      </c>
      <c r="D6" s="715"/>
      <c r="E6" s="716"/>
      <c r="F6" s="253">
        <f>SUM(D6:E6)</f>
        <v>0</v>
      </c>
    </row>
    <row r="7" spans="1:6" s="250" customFormat="1" ht="30" customHeight="1" x14ac:dyDescent="0.2">
      <c r="A7" s="254" t="s">
        <v>12</v>
      </c>
      <c r="B7" s="255" t="s">
        <v>425</v>
      </c>
      <c r="C7" s="254" t="s">
        <v>426</v>
      </c>
      <c r="D7" s="717"/>
      <c r="E7" s="718"/>
      <c r="F7" s="256">
        <f>SUM(D7:E7)</f>
        <v>0</v>
      </c>
    </row>
    <row r="8" spans="1:6" s="250" customFormat="1" ht="25.5" customHeight="1" x14ac:dyDescent="0.2">
      <c r="A8" s="254" t="s">
        <v>15</v>
      </c>
      <c r="B8" s="255" t="s">
        <v>427</v>
      </c>
      <c r="C8" s="257" t="s">
        <v>428</v>
      </c>
      <c r="D8" s="717"/>
      <c r="E8" s="718"/>
      <c r="F8" s="256">
        <f>SUM(D8:E8)</f>
        <v>0</v>
      </c>
    </row>
    <row r="9" spans="1:6" s="250" customFormat="1" ht="25.5" customHeight="1" x14ac:dyDescent="0.2">
      <c r="A9" s="682" t="s">
        <v>18</v>
      </c>
      <c r="B9" s="683" t="s">
        <v>429</v>
      </c>
      <c r="C9" s="684" t="s">
        <v>430</v>
      </c>
      <c r="D9" s="719"/>
      <c r="E9" s="720">
        <v>746330</v>
      </c>
      <c r="F9" s="706">
        <v>746330</v>
      </c>
    </row>
    <row r="10" spans="1:6" s="250" customFormat="1" ht="27.75" customHeight="1" x14ac:dyDescent="0.2">
      <c r="A10" s="272" t="s">
        <v>21</v>
      </c>
      <c r="B10" s="688" t="s">
        <v>431</v>
      </c>
      <c r="C10" s="272" t="s">
        <v>35</v>
      </c>
      <c r="D10" s="721">
        <f>SUM(D6:D9)</f>
        <v>0</v>
      </c>
      <c r="E10" s="722">
        <f>SUM(E6:E9)</f>
        <v>746330</v>
      </c>
      <c r="F10" s="689">
        <f>SUM(F6:F9)</f>
        <v>746330</v>
      </c>
    </row>
    <row r="11" spans="1:6" s="250" customFormat="1" ht="24.75" customHeight="1" x14ac:dyDescent="0.2">
      <c r="A11" s="685" t="s">
        <v>24</v>
      </c>
      <c r="B11" s="686" t="s">
        <v>432</v>
      </c>
      <c r="C11" s="685" t="s">
        <v>433</v>
      </c>
      <c r="D11" s="723"/>
      <c r="E11" s="724"/>
      <c r="F11" s="687">
        <f>SUM(D11:E11)</f>
        <v>0</v>
      </c>
    </row>
    <row r="12" spans="1:6" s="250" customFormat="1" ht="30" customHeight="1" x14ac:dyDescent="0.2">
      <c r="A12" s="254" t="s">
        <v>27</v>
      </c>
      <c r="B12" s="255" t="s">
        <v>434</v>
      </c>
      <c r="C12" s="254" t="s">
        <v>435</v>
      </c>
      <c r="D12" s="725"/>
      <c r="E12" s="726"/>
      <c r="F12" s="687">
        <f>SUM(D12:E12)</f>
        <v>0</v>
      </c>
    </row>
    <row r="13" spans="1:6" s="250" customFormat="1" ht="30" customHeight="1" x14ac:dyDescent="0.2">
      <c r="A13" s="254" t="s">
        <v>30</v>
      </c>
      <c r="B13" s="255" t="s">
        <v>436</v>
      </c>
      <c r="C13" s="254" t="s">
        <v>437</v>
      </c>
      <c r="D13" s="725"/>
      <c r="E13" s="726"/>
      <c r="F13" s="687">
        <f>SUM(D13:E13)</f>
        <v>0</v>
      </c>
    </row>
    <row r="14" spans="1:6" s="250" customFormat="1" ht="30" customHeight="1" x14ac:dyDescent="0.2">
      <c r="A14" s="682" t="s">
        <v>33</v>
      </c>
      <c r="B14" s="683" t="s">
        <v>438</v>
      </c>
      <c r="C14" s="682" t="s">
        <v>439</v>
      </c>
      <c r="D14" s="727"/>
      <c r="E14" s="728"/>
      <c r="F14" s="687">
        <f>SUM(D14:E14)</f>
        <v>0</v>
      </c>
    </row>
    <row r="15" spans="1:6" s="250" customFormat="1" ht="21.75" customHeight="1" x14ac:dyDescent="0.2">
      <c r="A15" s="272" t="s">
        <v>36</v>
      </c>
      <c r="B15" s="693" t="s">
        <v>403</v>
      </c>
      <c r="C15" s="694" t="s">
        <v>58</v>
      </c>
      <c r="D15" s="721">
        <f>SUM(D11:D14)</f>
        <v>0</v>
      </c>
      <c r="E15" s="722">
        <f>SUM(E11:E14)</f>
        <v>0</v>
      </c>
      <c r="F15" s="689">
        <f>SUM(F11:F14)</f>
        <v>0</v>
      </c>
    </row>
    <row r="16" spans="1:6" s="264" customFormat="1" ht="16.5" customHeight="1" x14ac:dyDescent="0.2">
      <c r="A16" s="685" t="s">
        <v>38</v>
      </c>
      <c r="B16" s="690" t="s">
        <v>106</v>
      </c>
      <c r="C16" s="691" t="s">
        <v>107</v>
      </c>
      <c r="D16" s="729"/>
      <c r="E16" s="730"/>
      <c r="F16" s="692">
        <f>SUM(D16:E16)</f>
        <v>0</v>
      </c>
    </row>
    <row r="17" spans="1:6" s="264" customFormat="1" ht="16.5" customHeight="1" x14ac:dyDescent="0.2">
      <c r="A17" s="254" t="s">
        <v>40</v>
      </c>
      <c r="B17" s="261" t="s">
        <v>109</v>
      </c>
      <c r="C17" s="262" t="s">
        <v>110</v>
      </c>
      <c r="D17" s="731"/>
      <c r="E17" s="732"/>
      <c r="F17" s="263">
        <f>SUM(D17:E17)</f>
        <v>0</v>
      </c>
    </row>
    <row r="18" spans="1:6" s="264" customFormat="1" ht="16.5" customHeight="1" x14ac:dyDescent="0.2">
      <c r="A18" s="254" t="s">
        <v>42</v>
      </c>
      <c r="B18" s="261" t="s">
        <v>440</v>
      </c>
      <c r="C18" s="262" t="s">
        <v>113</v>
      </c>
      <c r="D18" s="731">
        <f>SUM(D19:D20)</f>
        <v>0</v>
      </c>
      <c r="E18" s="732">
        <f>SUM(E19:E20)</f>
        <v>0</v>
      </c>
      <c r="F18" s="263">
        <f>SUM(F19:F20)</f>
        <v>0</v>
      </c>
    </row>
    <row r="19" spans="1:6" s="264" customFormat="1" ht="16.5" customHeight="1" x14ac:dyDescent="0.2">
      <c r="A19" s="254" t="s">
        <v>44</v>
      </c>
      <c r="B19" s="265" t="s">
        <v>441</v>
      </c>
      <c r="C19" s="266" t="s">
        <v>442</v>
      </c>
      <c r="D19" s="733"/>
      <c r="E19" s="734"/>
      <c r="F19" s="267">
        <f t="shared" ref="F19:F27" si="0">SUM(D19:E19)</f>
        <v>0</v>
      </c>
    </row>
    <row r="20" spans="1:6" s="268" customFormat="1" ht="16.5" customHeight="1" x14ac:dyDescent="0.2">
      <c r="A20" s="254" t="s">
        <v>46</v>
      </c>
      <c r="B20" s="265" t="s">
        <v>443</v>
      </c>
      <c r="C20" s="266" t="s">
        <v>444</v>
      </c>
      <c r="D20" s="733"/>
      <c r="E20" s="734"/>
      <c r="F20" s="267">
        <f t="shared" si="0"/>
        <v>0</v>
      </c>
    </row>
    <row r="21" spans="1:6" s="268" customFormat="1" ht="16.5" customHeight="1" x14ac:dyDescent="0.2">
      <c r="A21" s="254" t="s">
        <v>48</v>
      </c>
      <c r="B21" s="269" t="s">
        <v>115</v>
      </c>
      <c r="C21" s="262" t="s">
        <v>116</v>
      </c>
      <c r="D21" s="733"/>
      <c r="E21" s="734"/>
      <c r="F21" s="267">
        <f t="shared" si="0"/>
        <v>0</v>
      </c>
    </row>
    <row r="22" spans="1:6" s="264" customFormat="1" ht="16.5" customHeight="1" x14ac:dyDescent="0.2">
      <c r="A22" s="254" t="s">
        <v>50</v>
      </c>
      <c r="B22" s="261" t="s">
        <v>118</v>
      </c>
      <c r="C22" s="262" t="s">
        <v>119</v>
      </c>
      <c r="D22" s="731"/>
      <c r="E22" s="732"/>
      <c r="F22" s="267">
        <f t="shared" si="0"/>
        <v>0</v>
      </c>
    </row>
    <row r="23" spans="1:6" s="264" customFormat="1" ht="16.5" customHeight="1" x14ac:dyDescent="0.2">
      <c r="A23" s="254" t="s">
        <v>53</v>
      </c>
      <c r="B23" s="261" t="s">
        <v>445</v>
      </c>
      <c r="C23" s="262" t="s">
        <v>122</v>
      </c>
      <c r="D23" s="731"/>
      <c r="E23" s="732"/>
      <c r="F23" s="267">
        <f t="shared" si="0"/>
        <v>0</v>
      </c>
    </row>
    <row r="24" spans="1:6" s="268" customFormat="1" ht="16.5" customHeight="1" x14ac:dyDescent="0.2">
      <c r="A24" s="254" t="s">
        <v>56</v>
      </c>
      <c r="B24" s="261" t="s">
        <v>446</v>
      </c>
      <c r="C24" s="262" t="s">
        <v>125</v>
      </c>
      <c r="D24" s="731"/>
      <c r="E24" s="732"/>
      <c r="F24" s="267">
        <f t="shared" si="0"/>
        <v>0</v>
      </c>
    </row>
    <row r="25" spans="1:6" s="268" customFormat="1" ht="16.5" customHeight="1" x14ac:dyDescent="0.2">
      <c r="A25" s="254" t="s">
        <v>59</v>
      </c>
      <c r="B25" s="270" t="s">
        <v>127</v>
      </c>
      <c r="C25" s="262" t="s">
        <v>128</v>
      </c>
      <c r="D25" s="731"/>
      <c r="E25" s="732"/>
      <c r="F25" s="267">
        <f t="shared" si="0"/>
        <v>0</v>
      </c>
    </row>
    <row r="26" spans="1:6" s="268" customFormat="1" ht="16.5" customHeight="1" x14ac:dyDescent="0.2">
      <c r="A26" s="254" t="s">
        <v>61</v>
      </c>
      <c r="B26" s="261" t="s">
        <v>447</v>
      </c>
      <c r="C26" s="262" t="s">
        <v>131</v>
      </c>
      <c r="D26" s="731"/>
      <c r="E26" s="732"/>
      <c r="F26" s="267">
        <f t="shared" si="0"/>
        <v>0</v>
      </c>
    </row>
    <row r="27" spans="1:6" s="268" customFormat="1" ht="16.5" customHeight="1" x14ac:dyDescent="0.2">
      <c r="A27" s="254" t="s">
        <v>63</v>
      </c>
      <c r="B27" s="261" t="s">
        <v>448</v>
      </c>
      <c r="C27" s="262" t="s">
        <v>134</v>
      </c>
      <c r="D27" s="731"/>
      <c r="E27" s="732"/>
      <c r="F27" s="267">
        <f t="shared" si="0"/>
        <v>0</v>
      </c>
    </row>
    <row r="28" spans="1:6" s="268" customFormat="1" ht="16.5" customHeight="1" x14ac:dyDescent="0.2">
      <c r="A28" s="682" t="s">
        <v>65</v>
      </c>
      <c r="B28" s="695" t="s">
        <v>136</v>
      </c>
      <c r="C28" s="696" t="s">
        <v>137</v>
      </c>
      <c r="D28" s="735"/>
      <c r="E28" s="736">
        <v>3200</v>
      </c>
      <c r="F28" s="267">
        <v>3200</v>
      </c>
    </row>
    <row r="29" spans="1:6" s="268" customFormat="1" ht="21" customHeight="1" x14ac:dyDescent="0.2">
      <c r="A29" s="272" t="s">
        <v>67</v>
      </c>
      <c r="B29" s="273" t="s">
        <v>449</v>
      </c>
      <c r="C29" s="697" t="s">
        <v>140</v>
      </c>
      <c r="D29" s="737">
        <f>SUM(D16+D17+D18+D21+D22+D23+D24+D25+D26+D27+D28)</f>
        <v>0</v>
      </c>
      <c r="E29" s="738">
        <f>SUM(E16+E17+E18+E21+E22+E23+E24+E25+E26+E27+E28)</f>
        <v>3200</v>
      </c>
      <c r="F29" s="275">
        <f>SUM(F16+F17+F18+F21+F22+F23+F24+F25+F26+F27+F28)</f>
        <v>3200</v>
      </c>
    </row>
    <row r="30" spans="1:6" s="271" customFormat="1" ht="21" customHeight="1" x14ac:dyDescent="0.2">
      <c r="A30" s="272" t="s">
        <v>69</v>
      </c>
      <c r="B30" s="273" t="s">
        <v>405</v>
      </c>
      <c r="C30" s="697" t="s">
        <v>158</v>
      </c>
      <c r="D30" s="737"/>
      <c r="E30" s="738"/>
      <c r="F30" s="275">
        <f>SUM(D30:E30)</f>
        <v>0</v>
      </c>
    </row>
    <row r="31" spans="1:6" s="268" customFormat="1" ht="21" customHeight="1" x14ac:dyDescent="0.2">
      <c r="A31" s="272" t="s">
        <v>71</v>
      </c>
      <c r="B31" s="273" t="s">
        <v>375</v>
      </c>
      <c r="C31" s="697" t="s">
        <v>167</v>
      </c>
      <c r="D31" s="739"/>
      <c r="E31" s="740"/>
      <c r="F31" s="702">
        <f>SUM(D31:E31)</f>
        <v>0</v>
      </c>
    </row>
    <row r="32" spans="1:6" s="268" customFormat="1" ht="21" customHeight="1" x14ac:dyDescent="0.2">
      <c r="A32" s="698" t="s">
        <v>74</v>
      </c>
      <c r="B32" s="699" t="s">
        <v>406</v>
      </c>
      <c r="C32" s="700" t="s">
        <v>176</v>
      </c>
      <c r="D32" s="741"/>
      <c r="E32" s="742"/>
      <c r="F32" s="701">
        <f>SUM(D32:E32)</f>
        <v>0</v>
      </c>
    </row>
    <row r="33" spans="1:6" s="268" customFormat="1" ht="21" customHeight="1" x14ac:dyDescent="0.2">
      <c r="A33" s="272" t="s">
        <v>77</v>
      </c>
      <c r="B33" s="273" t="s">
        <v>450</v>
      </c>
      <c r="C33" s="274"/>
      <c r="D33" s="737">
        <f>D10+D15+D29+D30+D31+D32</f>
        <v>0</v>
      </c>
      <c r="E33" s="738">
        <f>E10+E15+E29+E30+E31+E32</f>
        <v>749530</v>
      </c>
      <c r="F33" s="275">
        <f>F10+F15+F29+F30+F31+F32</f>
        <v>749530</v>
      </c>
    </row>
    <row r="34" spans="1:6" s="264" customFormat="1" ht="20.25" customHeight="1" x14ac:dyDescent="0.2">
      <c r="A34" s="254" t="s">
        <v>80</v>
      </c>
      <c r="B34" s="276" t="s">
        <v>451</v>
      </c>
      <c r="C34" s="279" t="s">
        <v>185</v>
      </c>
      <c r="D34" s="1316">
        <f>SUM(D35:D36)</f>
        <v>1102783</v>
      </c>
      <c r="E34" s="1317">
        <f>SUM(E35:E36)</f>
        <v>1102783</v>
      </c>
      <c r="F34" s="1318">
        <f>SUM(F35:F36)</f>
        <v>1102783</v>
      </c>
    </row>
    <row r="35" spans="1:6" s="264" customFormat="1" ht="20.25" customHeight="1" x14ac:dyDescent="0.2">
      <c r="A35" s="254" t="s">
        <v>82</v>
      </c>
      <c r="B35" s="101" t="s">
        <v>187</v>
      </c>
      <c r="C35" s="279" t="s">
        <v>188</v>
      </c>
      <c r="D35" s="1316">
        <v>1102783</v>
      </c>
      <c r="E35" s="1317">
        <v>1102783</v>
      </c>
      <c r="F35" s="1318">
        <v>1102783</v>
      </c>
    </row>
    <row r="36" spans="1:6" s="264" customFormat="1" ht="20.25" customHeight="1" x14ac:dyDescent="0.2">
      <c r="A36" s="254" t="s">
        <v>84</v>
      </c>
      <c r="B36" s="101" t="s">
        <v>190</v>
      </c>
      <c r="C36" s="279" t="s">
        <v>191</v>
      </c>
      <c r="D36" s="1316"/>
      <c r="E36" s="1317"/>
      <c r="F36" s="1318">
        <f>SUM(D36:E36)</f>
        <v>0</v>
      </c>
    </row>
    <row r="37" spans="1:6" s="264" customFormat="1" ht="20.25" customHeight="1" x14ac:dyDescent="0.2">
      <c r="A37" s="254" t="s">
        <v>86</v>
      </c>
      <c r="B37" s="276" t="s">
        <v>452</v>
      </c>
      <c r="C37" s="279" t="s">
        <v>453</v>
      </c>
      <c r="D37" s="1316">
        <f>SUM(D38:D39)</f>
        <v>39950643</v>
      </c>
      <c r="E37" s="1317">
        <f t="shared" ref="E37:F37" si="1">SUM(E38:E39)</f>
        <v>39950643</v>
      </c>
      <c r="F37" s="1318">
        <f t="shared" si="1"/>
        <v>21611024</v>
      </c>
    </row>
    <row r="38" spans="1:6" s="264" customFormat="1" ht="20.25" customHeight="1" x14ac:dyDescent="0.2">
      <c r="A38" s="254"/>
      <c r="B38" s="437" t="s">
        <v>528</v>
      </c>
      <c r="C38" s="438" t="s">
        <v>453</v>
      </c>
      <c r="D38" s="1316"/>
      <c r="E38" s="1317"/>
      <c r="F38" s="1318">
        <f>SUM(D38:E38)</f>
        <v>0</v>
      </c>
    </row>
    <row r="39" spans="1:6" s="264" customFormat="1" ht="20.25" customHeight="1" x14ac:dyDescent="0.2">
      <c r="A39" s="682"/>
      <c r="B39" s="703" t="s">
        <v>529</v>
      </c>
      <c r="C39" s="704" t="s">
        <v>453</v>
      </c>
      <c r="D39" s="1319">
        <v>39950643</v>
      </c>
      <c r="E39" s="1320">
        <v>39950643</v>
      </c>
      <c r="F39" s="1321">
        <v>21611024</v>
      </c>
    </row>
    <row r="40" spans="1:6" s="264" customFormat="1" ht="20.25" customHeight="1" x14ac:dyDescent="0.2">
      <c r="A40" s="705" t="s">
        <v>89</v>
      </c>
      <c r="B40" s="273" t="s">
        <v>454</v>
      </c>
      <c r="C40" s="280" t="s">
        <v>455</v>
      </c>
      <c r="D40" s="743">
        <f>SUM(D34+D37)</f>
        <v>41053426</v>
      </c>
      <c r="E40" s="744">
        <f t="shared" ref="E40" si="2">SUM(E34+E37)</f>
        <v>41053426</v>
      </c>
      <c r="F40" s="281">
        <f>SUM(F34+F37)</f>
        <v>22713807</v>
      </c>
    </row>
    <row r="41" spans="1:6" s="264" customFormat="1" ht="20.25" customHeight="1" x14ac:dyDescent="0.2">
      <c r="A41" s="272" t="s">
        <v>93</v>
      </c>
      <c r="B41" s="273" t="s">
        <v>456</v>
      </c>
      <c r="C41" s="280" t="s">
        <v>194</v>
      </c>
      <c r="D41" s="743">
        <f>D40</f>
        <v>41053426</v>
      </c>
      <c r="E41" s="744">
        <f t="shared" ref="E41:F41" si="3">E40</f>
        <v>41053426</v>
      </c>
      <c r="F41" s="281">
        <f t="shared" si="3"/>
        <v>22713807</v>
      </c>
    </row>
    <row r="42" spans="1:6" s="264" customFormat="1" ht="27" customHeight="1" x14ac:dyDescent="0.2">
      <c r="A42" s="272" t="s">
        <v>96</v>
      </c>
      <c r="B42" s="273" t="s">
        <v>457</v>
      </c>
      <c r="C42" s="282"/>
      <c r="D42" s="743">
        <f>D33+D41</f>
        <v>41053426</v>
      </c>
      <c r="E42" s="744">
        <f>E33+E41</f>
        <v>41802956</v>
      </c>
      <c r="F42" s="281">
        <f>F33+F41</f>
        <v>23463337</v>
      </c>
    </row>
    <row r="43" spans="1:6" s="264" customFormat="1" ht="15" customHeight="1" x14ac:dyDescent="0.2">
      <c r="A43" s="283"/>
      <c r="B43" s="284"/>
      <c r="C43" s="285"/>
      <c r="D43" s="286"/>
      <c r="E43" s="286"/>
      <c r="F43" s="286"/>
    </row>
    <row r="44" spans="1:6" s="264" customFormat="1" ht="15" customHeight="1" x14ac:dyDescent="0.2">
      <c r="A44" s="1174" t="s">
        <v>458</v>
      </c>
      <c r="B44" s="1174"/>
      <c r="C44" s="1174"/>
      <c r="D44" s="1174"/>
      <c r="E44" s="1174"/>
      <c r="F44" s="287"/>
    </row>
    <row r="45" spans="1:6" s="264" customFormat="1" ht="38.25" customHeight="1" x14ac:dyDescent="0.2">
      <c r="A45" s="247" t="s">
        <v>365</v>
      </c>
      <c r="B45" s="247" t="s">
        <v>262</v>
      </c>
      <c r="C45" s="288" t="s">
        <v>421</v>
      </c>
      <c r="D45" s="247" t="s">
        <v>500</v>
      </c>
      <c r="E45" s="247" t="s">
        <v>936</v>
      </c>
      <c r="F45" s="247" t="s">
        <v>937</v>
      </c>
    </row>
    <row r="46" spans="1:6" s="264" customFormat="1" ht="15" customHeight="1" x14ac:dyDescent="0.2">
      <c r="A46" s="289" t="s">
        <v>5</v>
      </c>
      <c r="B46" s="289" t="s">
        <v>6</v>
      </c>
      <c r="C46" s="289"/>
      <c r="D46" s="745" t="s">
        <v>8</v>
      </c>
      <c r="E46" s="746" t="s">
        <v>263</v>
      </c>
      <c r="F46" s="289" t="s">
        <v>422</v>
      </c>
    </row>
    <row r="47" spans="1:6" s="264" customFormat="1" ht="17.25" customHeight="1" x14ac:dyDescent="0.2">
      <c r="A47" s="290" t="s">
        <v>9</v>
      </c>
      <c r="B47" s="291" t="s">
        <v>199</v>
      </c>
      <c r="C47" s="292" t="s">
        <v>200</v>
      </c>
      <c r="D47" s="747">
        <v>25084754</v>
      </c>
      <c r="E47" s="405">
        <f>25084754+355000+210000</f>
        <v>25649754</v>
      </c>
      <c r="F47" s="293">
        <v>14378750</v>
      </c>
    </row>
    <row r="48" spans="1:6" s="264" customFormat="1" ht="17.25" customHeight="1" x14ac:dyDescent="0.2">
      <c r="A48" s="294" t="s">
        <v>12</v>
      </c>
      <c r="B48" s="295" t="s">
        <v>201</v>
      </c>
      <c r="C48" s="296" t="s">
        <v>202</v>
      </c>
      <c r="D48" s="748">
        <v>4864374.5892000012</v>
      </c>
      <c r="E48" s="408">
        <f>4864374.5892+87277+40950</f>
        <v>4992601.5892000003</v>
      </c>
      <c r="F48" s="293">
        <v>3323613</v>
      </c>
    </row>
    <row r="49" spans="1:7" s="264" customFormat="1" ht="17.25" customHeight="1" x14ac:dyDescent="0.2">
      <c r="A49" s="294" t="s">
        <v>15</v>
      </c>
      <c r="B49" s="295" t="s">
        <v>203</v>
      </c>
      <c r="C49" s="296" t="s">
        <v>204</v>
      </c>
      <c r="D49" s="748">
        <v>11004297.409448819</v>
      </c>
      <c r="E49" s="408">
        <f>11007497+36100+17003</f>
        <v>11060600</v>
      </c>
      <c r="F49" s="293">
        <v>3790735</v>
      </c>
    </row>
    <row r="50" spans="1:7" s="264" customFormat="1" ht="17.25" customHeight="1" x14ac:dyDescent="0.2">
      <c r="A50" s="294" t="s">
        <v>18</v>
      </c>
      <c r="B50" s="295" t="s">
        <v>205</v>
      </c>
      <c r="C50" s="296" t="s">
        <v>206</v>
      </c>
      <c r="D50" s="748"/>
      <c r="E50" s="408"/>
      <c r="F50" s="293">
        <f>SUM(D50:E50)</f>
        <v>0</v>
      </c>
    </row>
    <row r="51" spans="1:7" s="264" customFormat="1" ht="17.25" customHeight="1" x14ac:dyDescent="0.2">
      <c r="A51" s="294" t="s">
        <v>21</v>
      </c>
      <c r="B51" s="295" t="s">
        <v>207</v>
      </c>
      <c r="C51" s="296" t="s">
        <v>208</v>
      </c>
      <c r="D51" s="748"/>
      <c r="E51" s="408"/>
      <c r="F51" s="293">
        <f>SUM(D51:E51)</f>
        <v>0</v>
      </c>
    </row>
    <row r="52" spans="1:7" s="250" customFormat="1" ht="17.25" customHeight="1" x14ac:dyDescent="0.2">
      <c r="A52" s="298" t="s">
        <v>24</v>
      </c>
      <c r="B52" s="299" t="s">
        <v>459</v>
      </c>
      <c r="C52" s="300" t="s">
        <v>225</v>
      </c>
      <c r="D52" s="749">
        <f>SUM(D47:D51)</f>
        <v>40953425.998648822</v>
      </c>
      <c r="E52" s="750">
        <f>SUM(E47:E51)</f>
        <v>41702955.589200005</v>
      </c>
      <c r="F52" s="301">
        <f>SUM(F47:F51)</f>
        <v>21493098</v>
      </c>
      <c r="G52" s="302"/>
    </row>
    <row r="53" spans="1:7" s="304" customFormat="1" ht="17.25" customHeight="1" x14ac:dyDescent="0.2">
      <c r="A53" s="294" t="s">
        <v>27</v>
      </c>
      <c r="B53" s="295" t="s">
        <v>460</v>
      </c>
      <c r="C53" s="296" t="s">
        <v>227</v>
      </c>
      <c r="D53" s="748">
        <v>100000</v>
      </c>
      <c r="E53" s="408">
        <v>100000</v>
      </c>
      <c r="F53" s="297"/>
      <c r="G53" s="303"/>
    </row>
    <row r="54" spans="1:7" ht="17.25" customHeight="1" x14ac:dyDescent="0.2">
      <c r="A54" s="294" t="s">
        <v>30</v>
      </c>
      <c r="B54" s="295" t="s">
        <v>228</v>
      </c>
      <c r="C54" s="296" t="s">
        <v>229</v>
      </c>
      <c r="D54" s="748"/>
      <c r="E54" s="408"/>
      <c r="F54" s="297"/>
      <c r="G54" s="305"/>
    </row>
    <row r="55" spans="1:7" ht="17.25" customHeight="1" x14ac:dyDescent="0.2">
      <c r="A55" s="707" t="s">
        <v>33</v>
      </c>
      <c r="B55" s="708" t="s">
        <v>461</v>
      </c>
      <c r="C55" s="709" t="s">
        <v>231</v>
      </c>
      <c r="D55" s="751"/>
      <c r="E55" s="752"/>
      <c r="F55" s="710"/>
      <c r="G55" s="305"/>
    </row>
    <row r="56" spans="1:7" ht="17.25" customHeight="1" x14ac:dyDescent="0.2">
      <c r="A56" s="306" t="s">
        <v>36</v>
      </c>
      <c r="B56" s="711" t="s">
        <v>462</v>
      </c>
      <c r="C56" s="282" t="s">
        <v>243</v>
      </c>
      <c r="D56" s="753">
        <f>SUM(D53:D55)</f>
        <v>100000</v>
      </c>
      <c r="E56" s="754">
        <f>SUM(E53:E55)</f>
        <v>100000</v>
      </c>
      <c r="F56" s="712">
        <f>SUM(F53:F55)</f>
        <v>0</v>
      </c>
      <c r="G56" s="305"/>
    </row>
    <row r="57" spans="1:7" ht="17.25" customHeight="1" x14ac:dyDescent="0.2">
      <c r="A57" s="306" t="s">
        <v>38</v>
      </c>
      <c r="B57" s="307" t="s">
        <v>463</v>
      </c>
      <c r="C57" s="282" t="s">
        <v>464</v>
      </c>
      <c r="D57" s="755">
        <f>D52+D56</f>
        <v>41053425.998648822</v>
      </c>
      <c r="E57" s="414">
        <f>E52+E56</f>
        <v>41802955.589200005</v>
      </c>
      <c r="F57" s="308">
        <f>F52+F56</f>
        <v>21493098</v>
      </c>
      <c r="G57" s="305"/>
    </row>
    <row r="58" spans="1:7" ht="22.5" customHeight="1" x14ac:dyDescent="0.2">
      <c r="A58" s="1322" t="s">
        <v>40</v>
      </c>
      <c r="B58" s="309" t="s">
        <v>465</v>
      </c>
      <c r="C58" s="310" t="s">
        <v>466</v>
      </c>
      <c r="D58" s="756"/>
      <c r="E58" s="757"/>
      <c r="F58" s="311">
        <f>SUM(D58:E58)</f>
        <v>0</v>
      </c>
      <c r="G58" s="305"/>
    </row>
    <row r="59" spans="1:7" ht="20.25" customHeight="1" x14ac:dyDescent="0.2">
      <c r="A59" s="282" t="s">
        <v>44</v>
      </c>
      <c r="B59" s="307" t="s">
        <v>530</v>
      </c>
      <c r="C59" s="282" t="s">
        <v>255</v>
      </c>
      <c r="D59" s="755">
        <f>D58</f>
        <v>0</v>
      </c>
      <c r="E59" s="414">
        <f t="shared" ref="E59:F59" si="4">E58</f>
        <v>0</v>
      </c>
      <c r="F59" s="308">
        <f t="shared" si="4"/>
        <v>0</v>
      </c>
      <c r="G59" s="305"/>
    </row>
    <row r="60" spans="1:7" ht="30.75" customHeight="1" x14ac:dyDescent="0.2">
      <c r="A60" s="312" t="s">
        <v>46</v>
      </c>
      <c r="B60" s="313" t="s">
        <v>467</v>
      </c>
      <c r="C60" s="282" t="s">
        <v>257</v>
      </c>
      <c r="D60" s="758">
        <f>SUM(D57+D59)</f>
        <v>41053425.998648822</v>
      </c>
      <c r="E60" s="759">
        <f>SUM(E57+E59)</f>
        <v>41802955.589200005</v>
      </c>
      <c r="F60" s="314">
        <f>SUM(F57+F59)</f>
        <v>21493098</v>
      </c>
      <c r="G60" s="305"/>
    </row>
    <row r="61" spans="1:7" ht="12" customHeight="1" x14ac:dyDescent="0.2">
      <c r="A61" s="315"/>
      <c r="B61" s="316"/>
      <c r="C61" s="317"/>
      <c r="D61" s="317"/>
      <c r="E61" s="317"/>
      <c r="F61" s="317"/>
      <c r="G61" s="305"/>
    </row>
    <row r="62" spans="1:7" ht="12" customHeight="1" x14ac:dyDescent="0.2">
      <c r="A62" s="315"/>
      <c r="B62" s="316"/>
      <c r="C62" s="317"/>
      <c r="D62" s="317"/>
      <c r="E62" s="317"/>
      <c r="F62" s="317"/>
      <c r="G62" s="305"/>
    </row>
  </sheetData>
  <mergeCells count="3">
    <mergeCell ref="A1:F1"/>
    <mergeCell ref="A5:F5"/>
    <mergeCell ref="A44:E4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3"/>
  <sheetViews>
    <sheetView workbookViewId="0">
      <selection sqref="A1:L1"/>
    </sheetView>
  </sheetViews>
  <sheetFormatPr defaultRowHeight="12.75" x14ac:dyDescent="0.2"/>
  <cols>
    <col min="1" max="1" width="6.6640625" style="224" customWidth="1"/>
    <col min="2" max="2" width="24.6640625" style="187" customWidth="1"/>
    <col min="3" max="3" width="13" style="187" customWidth="1"/>
    <col min="4" max="5" width="15.5" style="225" customWidth="1"/>
    <col min="6" max="6" width="11.5" style="225" customWidth="1"/>
    <col min="7" max="7" width="13" style="225" customWidth="1"/>
    <col min="8" max="9" width="14" style="225" customWidth="1"/>
    <col min="10" max="10" width="13.33203125" style="187" customWidth="1"/>
    <col min="11" max="11" width="16.83203125" style="187" customWidth="1"/>
    <col min="12" max="12" width="14.6640625" style="187" customWidth="1"/>
    <col min="13" max="257" width="9.33203125" style="187"/>
    <col min="258" max="258" width="6.6640625" style="187" customWidth="1"/>
    <col min="259" max="259" width="24.6640625" style="187" customWidth="1"/>
    <col min="260" max="260" width="13" style="187" customWidth="1"/>
    <col min="261" max="262" width="15.5" style="187" customWidth="1"/>
    <col min="263" max="263" width="11.5" style="187" customWidth="1"/>
    <col min="264" max="264" width="13" style="187" customWidth="1"/>
    <col min="265" max="266" width="14" style="187" customWidth="1"/>
    <col min="267" max="267" width="13.33203125" style="187" customWidth="1"/>
    <col min="268" max="268" width="14.6640625" style="187" customWidth="1"/>
    <col min="269" max="513" width="9.33203125" style="187"/>
    <col min="514" max="514" width="6.6640625" style="187" customWidth="1"/>
    <col min="515" max="515" width="24.6640625" style="187" customWidth="1"/>
    <col min="516" max="516" width="13" style="187" customWidth="1"/>
    <col min="517" max="518" width="15.5" style="187" customWidth="1"/>
    <col min="519" max="519" width="11.5" style="187" customWidth="1"/>
    <col min="520" max="520" width="13" style="187" customWidth="1"/>
    <col min="521" max="522" width="14" style="187" customWidth="1"/>
    <col min="523" max="523" width="13.33203125" style="187" customWidth="1"/>
    <col min="524" max="524" width="14.6640625" style="187" customWidth="1"/>
    <col min="525" max="769" width="9.33203125" style="187"/>
    <col min="770" max="770" width="6.6640625" style="187" customWidth="1"/>
    <col min="771" max="771" width="24.6640625" style="187" customWidth="1"/>
    <col min="772" max="772" width="13" style="187" customWidth="1"/>
    <col min="773" max="774" width="15.5" style="187" customWidth="1"/>
    <col min="775" max="775" width="11.5" style="187" customWidth="1"/>
    <col min="776" max="776" width="13" style="187" customWidth="1"/>
    <col min="777" max="778" width="14" style="187" customWidth="1"/>
    <col min="779" max="779" width="13.33203125" style="187" customWidth="1"/>
    <col min="780" max="780" width="14.6640625" style="187" customWidth="1"/>
    <col min="781" max="1025" width="9.33203125" style="187"/>
    <col min="1026" max="1026" width="6.6640625" style="187" customWidth="1"/>
    <col min="1027" max="1027" width="24.6640625" style="187" customWidth="1"/>
    <col min="1028" max="1028" width="13" style="187" customWidth="1"/>
    <col min="1029" max="1030" width="15.5" style="187" customWidth="1"/>
    <col min="1031" max="1031" width="11.5" style="187" customWidth="1"/>
    <col min="1032" max="1032" width="13" style="187" customWidth="1"/>
    <col min="1033" max="1034" width="14" style="187" customWidth="1"/>
    <col min="1035" max="1035" width="13.33203125" style="187" customWidth="1"/>
    <col min="1036" max="1036" width="14.6640625" style="187" customWidth="1"/>
    <col min="1037" max="1281" width="9.33203125" style="187"/>
    <col min="1282" max="1282" width="6.6640625" style="187" customWidth="1"/>
    <col min="1283" max="1283" width="24.6640625" style="187" customWidth="1"/>
    <col min="1284" max="1284" width="13" style="187" customWidth="1"/>
    <col min="1285" max="1286" width="15.5" style="187" customWidth="1"/>
    <col min="1287" max="1287" width="11.5" style="187" customWidth="1"/>
    <col min="1288" max="1288" width="13" style="187" customWidth="1"/>
    <col min="1289" max="1290" width="14" style="187" customWidth="1"/>
    <col min="1291" max="1291" width="13.33203125" style="187" customWidth="1"/>
    <col min="1292" max="1292" width="14.6640625" style="187" customWidth="1"/>
    <col min="1293" max="1537" width="9.33203125" style="187"/>
    <col min="1538" max="1538" width="6.6640625" style="187" customWidth="1"/>
    <col min="1539" max="1539" width="24.6640625" style="187" customWidth="1"/>
    <col min="1540" max="1540" width="13" style="187" customWidth="1"/>
    <col min="1541" max="1542" width="15.5" style="187" customWidth="1"/>
    <col min="1543" max="1543" width="11.5" style="187" customWidth="1"/>
    <col min="1544" max="1544" width="13" style="187" customWidth="1"/>
    <col min="1545" max="1546" width="14" style="187" customWidth="1"/>
    <col min="1547" max="1547" width="13.33203125" style="187" customWidth="1"/>
    <col min="1548" max="1548" width="14.6640625" style="187" customWidth="1"/>
    <col min="1549" max="1793" width="9.33203125" style="187"/>
    <col min="1794" max="1794" width="6.6640625" style="187" customWidth="1"/>
    <col min="1795" max="1795" width="24.6640625" style="187" customWidth="1"/>
    <col min="1796" max="1796" width="13" style="187" customWidth="1"/>
    <col min="1797" max="1798" width="15.5" style="187" customWidth="1"/>
    <col min="1799" max="1799" width="11.5" style="187" customWidth="1"/>
    <col min="1800" max="1800" width="13" style="187" customWidth="1"/>
    <col min="1801" max="1802" width="14" style="187" customWidth="1"/>
    <col min="1803" max="1803" width="13.33203125" style="187" customWidth="1"/>
    <col min="1804" max="1804" width="14.6640625" style="187" customWidth="1"/>
    <col min="1805" max="2049" width="9.33203125" style="187"/>
    <col min="2050" max="2050" width="6.6640625" style="187" customWidth="1"/>
    <col min="2051" max="2051" width="24.6640625" style="187" customWidth="1"/>
    <col min="2052" max="2052" width="13" style="187" customWidth="1"/>
    <col min="2053" max="2054" width="15.5" style="187" customWidth="1"/>
    <col min="2055" max="2055" width="11.5" style="187" customWidth="1"/>
    <col min="2056" max="2056" width="13" style="187" customWidth="1"/>
    <col min="2057" max="2058" width="14" style="187" customWidth="1"/>
    <col min="2059" max="2059" width="13.33203125" style="187" customWidth="1"/>
    <col min="2060" max="2060" width="14.6640625" style="187" customWidth="1"/>
    <col min="2061" max="2305" width="9.33203125" style="187"/>
    <col min="2306" max="2306" width="6.6640625" style="187" customWidth="1"/>
    <col min="2307" max="2307" width="24.6640625" style="187" customWidth="1"/>
    <col min="2308" max="2308" width="13" style="187" customWidth="1"/>
    <col min="2309" max="2310" width="15.5" style="187" customWidth="1"/>
    <col min="2311" max="2311" width="11.5" style="187" customWidth="1"/>
    <col min="2312" max="2312" width="13" style="187" customWidth="1"/>
    <col min="2313" max="2314" width="14" style="187" customWidth="1"/>
    <col min="2315" max="2315" width="13.33203125" style="187" customWidth="1"/>
    <col min="2316" max="2316" width="14.6640625" style="187" customWidth="1"/>
    <col min="2317" max="2561" width="9.33203125" style="187"/>
    <col min="2562" max="2562" width="6.6640625" style="187" customWidth="1"/>
    <col min="2563" max="2563" width="24.6640625" style="187" customWidth="1"/>
    <col min="2564" max="2564" width="13" style="187" customWidth="1"/>
    <col min="2565" max="2566" width="15.5" style="187" customWidth="1"/>
    <col min="2567" max="2567" width="11.5" style="187" customWidth="1"/>
    <col min="2568" max="2568" width="13" style="187" customWidth="1"/>
    <col min="2569" max="2570" width="14" style="187" customWidth="1"/>
    <col min="2571" max="2571" width="13.33203125" style="187" customWidth="1"/>
    <col min="2572" max="2572" width="14.6640625" style="187" customWidth="1"/>
    <col min="2573" max="2817" width="9.33203125" style="187"/>
    <col min="2818" max="2818" width="6.6640625" style="187" customWidth="1"/>
    <col min="2819" max="2819" width="24.6640625" style="187" customWidth="1"/>
    <col min="2820" max="2820" width="13" style="187" customWidth="1"/>
    <col min="2821" max="2822" width="15.5" style="187" customWidth="1"/>
    <col min="2823" max="2823" width="11.5" style="187" customWidth="1"/>
    <col min="2824" max="2824" width="13" style="187" customWidth="1"/>
    <col min="2825" max="2826" width="14" style="187" customWidth="1"/>
    <col min="2827" max="2827" width="13.33203125" style="187" customWidth="1"/>
    <col min="2828" max="2828" width="14.6640625" style="187" customWidth="1"/>
    <col min="2829" max="3073" width="9.33203125" style="187"/>
    <col min="3074" max="3074" width="6.6640625" style="187" customWidth="1"/>
    <col min="3075" max="3075" width="24.6640625" style="187" customWidth="1"/>
    <col min="3076" max="3076" width="13" style="187" customWidth="1"/>
    <col min="3077" max="3078" width="15.5" style="187" customWidth="1"/>
    <col min="3079" max="3079" width="11.5" style="187" customWidth="1"/>
    <col min="3080" max="3080" width="13" style="187" customWidth="1"/>
    <col min="3081" max="3082" width="14" style="187" customWidth="1"/>
    <col min="3083" max="3083" width="13.33203125" style="187" customWidth="1"/>
    <col min="3084" max="3084" width="14.6640625" style="187" customWidth="1"/>
    <col min="3085" max="3329" width="9.33203125" style="187"/>
    <col min="3330" max="3330" width="6.6640625" style="187" customWidth="1"/>
    <col min="3331" max="3331" width="24.6640625" style="187" customWidth="1"/>
    <col min="3332" max="3332" width="13" style="187" customWidth="1"/>
    <col min="3333" max="3334" width="15.5" style="187" customWidth="1"/>
    <col min="3335" max="3335" width="11.5" style="187" customWidth="1"/>
    <col min="3336" max="3336" width="13" style="187" customWidth="1"/>
    <col min="3337" max="3338" width="14" style="187" customWidth="1"/>
    <col min="3339" max="3339" width="13.33203125" style="187" customWidth="1"/>
    <col min="3340" max="3340" width="14.6640625" style="187" customWidth="1"/>
    <col min="3341" max="3585" width="9.33203125" style="187"/>
    <col min="3586" max="3586" width="6.6640625" style="187" customWidth="1"/>
    <col min="3587" max="3587" width="24.6640625" style="187" customWidth="1"/>
    <col min="3588" max="3588" width="13" style="187" customWidth="1"/>
    <col min="3589" max="3590" width="15.5" style="187" customWidth="1"/>
    <col min="3591" max="3591" width="11.5" style="187" customWidth="1"/>
    <col min="3592" max="3592" width="13" style="187" customWidth="1"/>
    <col min="3593" max="3594" width="14" style="187" customWidth="1"/>
    <col min="3595" max="3595" width="13.33203125" style="187" customWidth="1"/>
    <col min="3596" max="3596" width="14.6640625" style="187" customWidth="1"/>
    <col min="3597" max="3841" width="9.33203125" style="187"/>
    <col min="3842" max="3842" width="6.6640625" style="187" customWidth="1"/>
    <col min="3843" max="3843" width="24.6640625" style="187" customWidth="1"/>
    <col min="3844" max="3844" width="13" style="187" customWidth="1"/>
    <col min="3845" max="3846" width="15.5" style="187" customWidth="1"/>
    <col min="3847" max="3847" width="11.5" style="187" customWidth="1"/>
    <col min="3848" max="3848" width="13" style="187" customWidth="1"/>
    <col min="3849" max="3850" width="14" style="187" customWidth="1"/>
    <col min="3851" max="3851" width="13.33203125" style="187" customWidth="1"/>
    <col min="3852" max="3852" width="14.6640625" style="187" customWidth="1"/>
    <col min="3853" max="4097" width="9.33203125" style="187"/>
    <col min="4098" max="4098" width="6.6640625" style="187" customWidth="1"/>
    <col min="4099" max="4099" width="24.6640625" style="187" customWidth="1"/>
    <col min="4100" max="4100" width="13" style="187" customWidth="1"/>
    <col min="4101" max="4102" width="15.5" style="187" customWidth="1"/>
    <col min="4103" max="4103" width="11.5" style="187" customWidth="1"/>
    <col min="4104" max="4104" width="13" style="187" customWidth="1"/>
    <col min="4105" max="4106" width="14" style="187" customWidth="1"/>
    <col min="4107" max="4107" width="13.33203125" style="187" customWidth="1"/>
    <col min="4108" max="4108" width="14.6640625" style="187" customWidth="1"/>
    <col min="4109" max="4353" width="9.33203125" style="187"/>
    <col min="4354" max="4354" width="6.6640625" style="187" customWidth="1"/>
    <col min="4355" max="4355" width="24.6640625" style="187" customWidth="1"/>
    <col min="4356" max="4356" width="13" style="187" customWidth="1"/>
    <col min="4357" max="4358" width="15.5" style="187" customWidth="1"/>
    <col min="4359" max="4359" width="11.5" style="187" customWidth="1"/>
    <col min="4360" max="4360" width="13" style="187" customWidth="1"/>
    <col min="4361" max="4362" width="14" style="187" customWidth="1"/>
    <col min="4363" max="4363" width="13.33203125" style="187" customWidth="1"/>
    <col min="4364" max="4364" width="14.6640625" style="187" customWidth="1"/>
    <col min="4365" max="4609" width="9.33203125" style="187"/>
    <col min="4610" max="4610" width="6.6640625" style="187" customWidth="1"/>
    <col min="4611" max="4611" width="24.6640625" style="187" customWidth="1"/>
    <col min="4612" max="4612" width="13" style="187" customWidth="1"/>
    <col min="4613" max="4614" width="15.5" style="187" customWidth="1"/>
    <col min="4615" max="4615" width="11.5" style="187" customWidth="1"/>
    <col min="4616" max="4616" width="13" style="187" customWidth="1"/>
    <col min="4617" max="4618" width="14" style="187" customWidth="1"/>
    <col min="4619" max="4619" width="13.33203125" style="187" customWidth="1"/>
    <col min="4620" max="4620" width="14.6640625" style="187" customWidth="1"/>
    <col min="4621" max="4865" width="9.33203125" style="187"/>
    <col min="4866" max="4866" width="6.6640625" style="187" customWidth="1"/>
    <col min="4867" max="4867" width="24.6640625" style="187" customWidth="1"/>
    <col min="4868" max="4868" width="13" style="187" customWidth="1"/>
    <col min="4869" max="4870" width="15.5" style="187" customWidth="1"/>
    <col min="4871" max="4871" width="11.5" style="187" customWidth="1"/>
    <col min="4872" max="4872" width="13" style="187" customWidth="1"/>
    <col min="4873" max="4874" width="14" style="187" customWidth="1"/>
    <col min="4875" max="4875" width="13.33203125" style="187" customWidth="1"/>
    <col min="4876" max="4876" width="14.6640625" style="187" customWidth="1"/>
    <col min="4877" max="5121" width="9.33203125" style="187"/>
    <col min="5122" max="5122" width="6.6640625" style="187" customWidth="1"/>
    <col min="5123" max="5123" width="24.6640625" style="187" customWidth="1"/>
    <col min="5124" max="5124" width="13" style="187" customWidth="1"/>
    <col min="5125" max="5126" width="15.5" style="187" customWidth="1"/>
    <col min="5127" max="5127" width="11.5" style="187" customWidth="1"/>
    <col min="5128" max="5128" width="13" style="187" customWidth="1"/>
    <col min="5129" max="5130" width="14" style="187" customWidth="1"/>
    <col min="5131" max="5131" width="13.33203125" style="187" customWidth="1"/>
    <col min="5132" max="5132" width="14.6640625" style="187" customWidth="1"/>
    <col min="5133" max="5377" width="9.33203125" style="187"/>
    <col min="5378" max="5378" width="6.6640625" style="187" customWidth="1"/>
    <col min="5379" max="5379" width="24.6640625" style="187" customWidth="1"/>
    <col min="5380" max="5380" width="13" style="187" customWidth="1"/>
    <col min="5381" max="5382" width="15.5" style="187" customWidth="1"/>
    <col min="5383" max="5383" width="11.5" style="187" customWidth="1"/>
    <col min="5384" max="5384" width="13" style="187" customWidth="1"/>
    <col min="5385" max="5386" width="14" style="187" customWidth="1"/>
    <col min="5387" max="5387" width="13.33203125" style="187" customWidth="1"/>
    <col min="5388" max="5388" width="14.6640625" style="187" customWidth="1"/>
    <col min="5389" max="5633" width="9.33203125" style="187"/>
    <col min="5634" max="5634" width="6.6640625" style="187" customWidth="1"/>
    <col min="5635" max="5635" width="24.6640625" style="187" customWidth="1"/>
    <col min="5636" max="5636" width="13" style="187" customWidth="1"/>
    <col min="5637" max="5638" width="15.5" style="187" customWidth="1"/>
    <col min="5639" max="5639" width="11.5" style="187" customWidth="1"/>
    <col min="5640" max="5640" width="13" style="187" customWidth="1"/>
    <col min="5641" max="5642" width="14" style="187" customWidth="1"/>
    <col min="5643" max="5643" width="13.33203125" style="187" customWidth="1"/>
    <col min="5644" max="5644" width="14.6640625" style="187" customWidth="1"/>
    <col min="5645" max="5889" width="9.33203125" style="187"/>
    <col min="5890" max="5890" width="6.6640625" style="187" customWidth="1"/>
    <col min="5891" max="5891" width="24.6640625" style="187" customWidth="1"/>
    <col min="5892" max="5892" width="13" style="187" customWidth="1"/>
    <col min="5893" max="5894" width="15.5" style="187" customWidth="1"/>
    <col min="5895" max="5895" width="11.5" style="187" customWidth="1"/>
    <col min="5896" max="5896" width="13" style="187" customWidth="1"/>
    <col min="5897" max="5898" width="14" style="187" customWidth="1"/>
    <col min="5899" max="5899" width="13.33203125" style="187" customWidth="1"/>
    <col min="5900" max="5900" width="14.6640625" style="187" customWidth="1"/>
    <col min="5901" max="6145" width="9.33203125" style="187"/>
    <col min="6146" max="6146" width="6.6640625" style="187" customWidth="1"/>
    <col min="6147" max="6147" width="24.6640625" style="187" customWidth="1"/>
    <col min="6148" max="6148" width="13" style="187" customWidth="1"/>
    <col min="6149" max="6150" width="15.5" style="187" customWidth="1"/>
    <col min="6151" max="6151" width="11.5" style="187" customWidth="1"/>
    <col min="6152" max="6152" width="13" style="187" customWidth="1"/>
    <col min="6153" max="6154" width="14" style="187" customWidth="1"/>
    <col min="6155" max="6155" width="13.33203125" style="187" customWidth="1"/>
    <col min="6156" max="6156" width="14.6640625" style="187" customWidth="1"/>
    <col min="6157" max="6401" width="9.33203125" style="187"/>
    <col min="6402" max="6402" width="6.6640625" style="187" customWidth="1"/>
    <col min="6403" max="6403" width="24.6640625" style="187" customWidth="1"/>
    <col min="6404" max="6404" width="13" style="187" customWidth="1"/>
    <col min="6405" max="6406" width="15.5" style="187" customWidth="1"/>
    <col min="6407" max="6407" width="11.5" style="187" customWidth="1"/>
    <col min="6408" max="6408" width="13" style="187" customWidth="1"/>
    <col min="6409" max="6410" width="14" style="187" customWidth="1"/>
    <col min="6411" max="6411" width="13.33203125" style="187" customWidth="1"/>
    <col min="6412" max="6412" width="14.6640625" style="187" customWidth="1"/>
    <col min="6413" max="6657" width="9.33203125" style="187"/>
    <col min="6658" max="6658" width="6.6640625" style="187" customWidth="1"/>
    <col min="6659" max="6659" width="24.6640625" style="187" customWidth="1"/>
    <col min="6660" max="6660" width="13" style="187" customWidth="1"/>
    <col min="6661" max="6662" width="15.5" style="187" customWidth="1"/>
    <col min="6663" max="6663" width="11.5" style="187" customWidth="1"/>
    <col min="6664" max="6664" width="13" style="187" customWidth="1"/>
    <col min="6665" max="6666" width="14" style="187" customWidth="1"/>
    <col min="6667" max="6667" width="13.33203125" style="187" customWidth="1"/>
    <col min="6668" max="6668" width="14.6640625" style="187" customWidth="1"/>
    <col min="6669" max="6913" width="9.33203125" style="187"/>
    <col min="6914" max="6914" width="6.6640625" style="187" customWidth="1"/>
    <col min="6915" max="6915" width="24.6640625" style="187" customWidth="1"/>
    <col min="6916" max="6916" width="13" style="187" customWidth="1"/>
    <col min="6917" max="6918" width="15.5" style="187" customWidth="1"/>
    <col min="6919" max="6919" width="11.5" style="187" customWidth="1"/>
    <col min="6920" max="6920" width="13" style="187" customWidth="1"/>
    <col min="6921" max="6922" width="14" style="187" customWidth="1"/>
    <col min="6923" max="6923" width="13.33203125" style="187" customWidth="1"/>
    <col min="6924" max="6924" width="14.6640625" style="187" customWidth="1"/>
    <col min="6925" max="7169" width="9.33203125" style="187"/>
    <col min="7170" max="7170" width="6.6640625" style="187" customWidth="1"/>
    <col min="7171" max="7171" width="24.6640625" style="187" customWidth="1"/>
    <col min="7172" max="7172" width="13" style="187" customWidth="1"/>
    <col min="7173" max="7174" width="15.5" style="187" customWidth="1"/>
    <col min="7175" max="7175" width="11.5" style="187" customWidth="1"/>
    <col min="7176" max="7176" width="13" style="187" customWidth="1"/>
    <col min="7177" max="7178" width="14" style="187" customWidth="1"/>
    <col min="7179" max="7179" width="13.33203125" style="187" customWidth="1"/>
    <col min="7180" max="7180" width="14.6640625" style="187" customWidth="1"/>
    <col min="7181" max="7425" width="9.33203125" style="187"/>
    <col min="7426" max="7426" width="6.6640625" style="187" customWidth="1"/>
    <col min="7427" max="7427" width="24.6640625" style="187" customWidth="1"/>
    <col min="7428" max="7428" width="13" style="187" customWidth="1"/>
    <col min="7429" max="7430" width="15.5" style="187" customWidth="1"/>
    <col min="7431" max="7431" width="11.5" style="187" customWidth="1"/>
    <col min="7432" max="7432" width="13" style="187" customWidth="1"/>
    <col min="7433" max="7434" width="14" style="187" customWidth="1"/>
    <col min="7435" max="7435" width="13.33203125" style="187" customWidth="1"/>
    <col min="7436" max="7436" width="14.6640625" style="187" customWidth="1"/>
    <col min="7437" max="7681" width="9.33203125" style="187"/>
    <col min="7682" max="7682" width="6.6640625" style="187" customWidth="1"/>
    <col min="7683" max="7683" width="24.6640625" style="187" customWidth="1"/>
    <col min="7684" max="7684" width="13" style="187" customWidth="1"/>
    <col min="7685" max="7686" width="15.5" style="187" customWidth="1"/>
    <col min="7687" max="7687" width="11.5" style="187" customWidth="1"/>
    <col min="7688" max="7688" width="13" style="187" customWidth="1"/>
    <col min="7689" max="7690" width="14" style="187" customWidth="1"/>
    <col min="7691" max="7691" width="13.33203125" style="187" customWidth="1"/>
    <col min="7692" max="7692" width="14.6640625" style="187" customWidth="1"/>
    <col min="7693" max="7937" width="9.33203125" style="187"/>
    <col min="7938" max="7938" width="6.6640625" style="187" customWidth="1"/>
    <col min="7939" max="7939" width="24.6640625" style="187" customWidth="1"/>
    <col min="7940" max="7940" width="13" style="187" customWidth="1"/>
    <col min="7941" max="7942" width="15.5" style="187" customWidth="1"/>
    <col min="7943" max="7943" width="11.5" style="187" customWidth="1"/>
    <col min="7944" max="7944" width="13" style="187" customWidth="1"/>
    <col min="7945" max="7946" width="14" style="187" customWidth="1"/>
    <col min="7947" max="7947" width="13.33203125" style="187" customWidth="1"/>
    <col min="7948" max="7948" width="14.6640625" style="187" customWidth="1"/>
    <col min="7949" max="8193" width="9.33203125" style="187"/>
    <col min="8194" max="8194" width="6.6640625" style="187" customWidth="1"/>
    <col min="8195" max="8195" width="24.6640625" style="187" customWidth="1"/>
    <col min="8196" max="8196" width="13" style="187" customWidth="1"/>
    <col min="8197" max="8198" width="15.5" style="187" customWidth="1"/>
    <col min="8199" max="8199" width="11.5" style="187" customWidth="1"/>
    <col min="8200" max="8200" width="13" style="187" customWidth="1"/>
    <col min="8201" max="8202" width="14" style="187" customWidth="1"/>
    <col min="8203" max="8203" width="13.33203125" style="187" customWidth="1"/>
    <col min="8204" max="8204" width="14.6640625" style="187" customWidth="1"/>
    <col min="8205" max="8449" width="9.33203125" style="187"/>
    <col min="8450" max="8450" width="6.6640625" style="187" customWidth="1"/>
    <col min="8451" max="8451" width="24.6640625" style="187" customWidth="1"/>
    <col min="8452" max="8452" width="13" style="187" customWidth="1"/>
    <col min="8453" max="8454" width="15.5" style="187" customWidth="1"/>
    <col min="8455" max="8455" width="11.5" style="187" customWidth="1"/>
    <col min="8456" max="8456" width="13" style="187" customWidth="1"/>
    <col min="8457" max="8458" width="14" style="187" customWidth="1"/>
    <col min="8459" max="8459" width="13.33203125" style="187" customWidth="1"/>
    <col min="8460" max="8460" width="14.6640625" style="187" customWidth="1"/>
    <col min="8461" max="8705" width="9.33203125" style="187"/>
    <col min="8706" max="8706" width="6.6640625" style="187" customWidth="1"/>
    <col min="8707" max="8707" width="24.6640625" style="187" customWidth="1"/>
    <col min="8708" max="8708" width="13" style="187" customWidth="1"/>
    <col min="8709" max="8710" width="15.5" style="187" customWidth="1"/>
    <col min="8711" max="8711" width="11.5" style="187" customWidth="1"/>
    <col min="8712" max="8712" width="13" style="187" customWidth="1"/>
    <col min="8713" max="8714" width="14" style="187" customWidth="1"/>
    <col min="8715" max="8715" width="13.33203125" style="187" customWidth="1"/>
    <col min="8716" max="8716" width="14.6640625" style="187" customWidth="1"/>
    <col min="8717" max="8961" width="9.33203125" style="187"/>
    <col min="8962" max="8962" width="6.6640625" style="187" customWidth="1"/>
    <col min="8963" max="8963" width="24.6640625" style="187" customWidth="1"/>
    <col min="8964" max="8964" width="13" style="187" customWidth="1"/>
    <col min="8965" max="8966" width="15.5" style="187" customWidth="1"/>
    <col min="8967" max="8967" width="11.5" style="187" customWidth="1"/>
    <col min="8968" max="8968" width="13" style="187" customWidth="1"/>
    <col min="8969" max="8970" width="14" style="187" customWidth="1"/>
    <col min="8971" max="8971" width="13.33203125" style="187" customWidth="1"/>
    <col min="8972" max="8972" width="14.6640625" style="187" customWidth="1"/>
    <col min="8973" max="9217" width="9.33203125" style="187"/>
    <col min="9218" max="9218" width="6.6640625" style="187" customWidth="1"/>
    <col min="9219" max="9219" width="24.6640625" style="187" customWidth="1"/>
    <col min="9220" max="9220" width="13" style="187" customWidth="1"/>
    <col min="9221" max="9222" width="15.5" style="187" customWidth="1"/>
    <col min="9223" max="9223" width="11.5" style="187" customWidth="1"/>
    <col min="9224" max="9224" width="13" style="187" customWidth="1"/>
    <col min="9225" max="9226" width="14" style="187" customWidth="1"/>
    <col min="9227" max="9227" width="13.33203125" style="187" customWidth="1"/>
    <col min="9228" max="9228" width="14.6640625" style="187" customWidth="1"/>
    <col min="9229" max="9473" width="9.33203125" style="187"/>
    <col min="9474" max="9474" width="6.6640625" style="187" customWidth="1"/>
    <col min="9475" max="9475" width="24.6640625" style="187" customWidth="1"/>
    <col min="9476" max="9476" width="13" style="187" customWidth="1"/>
    <col min="9477" max="9478" width="15.5" style="187" customWidth="1"/>
    <col min="9479" max="9479" width="11.5" style="187" customWidth="1"/>
    <col min="9480" max="9480" width="13" style="187" customWidth="1"/>
    <col min="9481" max="9482" width="14" style="187" customWidth="1"/>
    <col min="9483" max="9483" width="13.33203125" style="187" customWidth="1"/>
    <col min="9484" max="9484" width="14.6640625" style="187" customWidth="1"/>
    <col min="9485" max="9729" width="9.33203125" style="187"/>
    <col min="9730" max="9730" width="6.6640625" style="187" customWidth="1"/>
    <col min="9731" max="9731" width="24.6640625" style="187" customWidth="1"/>
    <col min="9732" max="9732" width="13" style="187" customWidth="1"/>
    <col min="9733" max="9734" width="15.5" style="187" customWidth="1"/>
    <col min="9735" max="9735" width="11.5" style="187" customWidth="1"/>
    <col min="9736" max="9736" width="13" style="187" customWidth="1"/>
    <col min="9737" max="9738" width="14" style="187" customWidth="1"/>
    <col min="9739" max="9739" width="13.33203125" style="187" customWidth="1"/>
    <col min="9740" max="9740" width="14.6640625" style="187" customWidth="1"/>
    <col min="9741" max="9985" width="9.33203125" style="187"/>
    <col min="9986" max="9986" width="6.6640625" style="187" customWidth="1"/>
    <col min="9987" max="9987" width="24.6640625" style="187" customWidth="1"/>
    <col min="9988" max="9988" width="13" style="187" customWidth="1"/>
    <col min="9989" max="9990" width="15.5" style="187" customWidth="1"/>
    <col min="9991" max="9991" width="11.5" style="187" customWidth="1"/>
    <col min="9992" max="9992" width="13" style="187" customWidth="1"/>
    <col min="9993" max="9994" width="14" style="187" customWidth="1"/>
    <col min="9995" max="9995" width="13.33203125" style="187" customWidth="1"/>
    <col min="9996" max="9996" width="14.6640625" style="187" customWidth="1"/>
    <col min="9997" max="10241" width="9.33203125" style="187"/>
    <col min="10242" max="10242" width="6.6640625" style="187" customWidth="1"/>
    <col min="10243" max="10243" width="24.6640625" style="187" customWidth="1"/>
    <col min="10244" max="10244" width="13" style="187" customWidth="1"/>
    <col min="10245" max="10246" width="15.5" style="187" customWidth="1"/>
    <col min="10247" max="10247" width="11.5" style="187" customWidth="1"/>
    <col min="10248" max="10248" width="13" style="187" customWidth="1"/>
    <col min="10249" max="10250" width="14" style="187" customWidth="1"/>
    <col min="10251" max="10251" width="13.33203125" style="187" customWidth="1"/>
    <col min="10252" max="10252" width="14.6640625" style="187" customWidth="1"/>
    <col min="10253" max="10497" width="9.33203125" style="187"/>
    <col min="10498" max="10498" width="6.6640625" style="187" customWidth="1"/>
    <col min="10499" max="10499" width="24.6640625" style="187" customWidth="1"/>
    <col min="10500" max="10500" width="13" style="187" customWidth="1"/>
    <col min="10501" max="10502" width="15.5" style="187" customWidth="1"/>
    <col min="10503" max="10503" width="11.5" style="187" customWidth="1"/>
    <col min="10504" max="10504" width="13" style="187" customWidth="1"/>
    <col min="10505" max="10506" width="14" style="187" customWidth="1"/>
    <col min="10507" max="10507" width="13.33203125" style="187" customWidth="1"/>
    <col min="10508" max="10508" width="14.6640625" style="187" customWidth="1"/>
    <col min="10509" max="10753" width="9.33203125" style="187"/>
    <col min="10754" max="10754" width="6.6640625" style="187" customWidth="1"/>
    <col min="10755" max="10755" width="24.6640625" style="187" customWidth="1"/>
    <col min="10756" max="10756" width="13" style="187" customWidth="1"/>
    <col min="10757" max="10758" width="15.5" style="187" customWidth="1"/>
    <col min="10759" max="10759" width="11.5" style="187" customWidth="1"/>
    <col min="10760" max="10760" width="13" style="187" customWidth="1"/>
    <col min="10761" max="10762" width="14" style="187" customWidth="1"/>
    <col min="10763" max="10763" width="13.33203125" style="187" customWidth="1"/>
    <col min="10764" max="10764" width="14.6640625" style="187" customWidth="1"/>
    <col min="10765" max="11009" width="9.33203125" style="187"/>
    <col min="11010" max="11010" width="6.6640625" style="187" customWidth="1"/>
    <col min="11011" max="11011" width="24.6640625" style="187" customWidth="1"/>
    <col min="11012" max="11012" width="13" style="187" customWidth="1"/>
    <col min="11013" max="11014" width="15.5" style="187" customWidth="1"/>
    <col min="11015" max="11015" width="11.5" style="187" customWidth="1"/>
    <col min="11016" max="11016" width="13" style="187" customWidth="1"/>
    <col min="11017" max="11018" width="14" style="187" customWidth="1"/>
    <col min="11019" max="11019" width="13.33203125" style="187" customWidth="1"/>
    <col min="11020" max="11020" width="14.6640625" style="187" customWidth="1"/>
    <col min="11021" max="11265" width="9.33203125" style="187"/>
    <col min="11266" max="11266" width="6.6640625" style="187" customWidth="1"/>
    <col min="11267" max="11267" width="24.6640625" style="187" customWidth="1"/>
    <col min="11268" max="11268" width="13" style="187" customWidth="1"/>
    <col min="11269" max="11270" width="15.5" style="187" customWidth="1"/>
    <col min="11271" max="11271" width="11.5" style="187" customWidth="1"/>
    <col min="11272" max="11272" width="13" style="187" customWidth="1"/>
    <col min="11273" max="11274" width="14" style="187" customWidth="1"/>
    <col min="11275" max="11275" width="13.33203125" style="187" customWidth="1"/>
    <col min="11276" max="11276" width="14.6640625" style="187" customWidth="1"/>
    <col min="11277" max="11521" width="9.33203125" style="187"/>
    <col min="11522" max="11522" width="6.6640625" style="187" customWidth="1"/>
    <col min="11523" max="11523" width="24.6640625" style="187" customWidth="1"/>
    <col min="11524" max="11524" width="13" style="187" customWidth="1"/>
    <col min="11525" max="11526" width="15.5" style="187" customWidth="1"/>
    <col min="11527" max="11527" width="11.5" style="187" customWidth="1"/>
    <col min="11528" max="11528" width="13" style="187" customWidth="1"/>
    <col min="11529" max="11530" width="14" style="187" customWidth="1"/>
    <col min="11531" max="11531" width="13.33203125" style="187" customWidth="1"/>
    <col min="11532" max="11532" width="14.6640625" style="187" customWidth="1"/>
    <col min="11533" max="11777" width="9.33203125" style="187"/>
    <col min="11778" max="11778" width="6.6640625" style="187" customWidth="1"/>
    <col min="11779" max="11779" width="24.6640625" style="187" customWidth="1"/>
    <col min="11780" max="11780" width="13" style="187" customWidth="1"/>
    <col min="11781" max="11782" width="15.5" style="187" customWidth="1"/>
    <col min="11783" max="11783" width="11.5" style="187" customWidth="1"/>
    <col min="11784" max="11784" width="13" style="187" customWidth="1"/>
    <col min="11785" max="11786" width="14" style="187" customWidth="1"/>
    <col min="11787" max="11787" width="13.33203125" style="187" customWidth="1"/>
    <col min="11788" max="11788" width="14.6640625" style="187" customWidth="1"/>
    <col min="11789" max="12033" width="9.33203125" style="187"/>
    <col min="12034" max="12034" width="6.6640625" style="187" customWidth="1"/>
    <col min="12035" max="12035" width="24.6640625" style="187" customWidth="1"/>
    <col min="12036" max="12036" width="13" style="187" customWidth="1"/>
    <col min="12037" max="12038" width="15.5" style="187" customWidth="1"/>
    <col min="12039" max="12039" width="11.5" style="187" customWidth="1"/>
    <col min="12040" max="12040" width="13" style="187" customWidth="1"/>
    <col min="12041" max="12042" width="14" style="187" customWidth="1"/>
    <col min="12043" max="12043" width="13.33203125" style="187" customWidth="1"/>
    <col min="12044" max="12044" width="14.6640625" style="187" customWidth="1"/>
    <col min="12045" max="12289" width="9.33203125" style="187"/>
    <col min="12290" max="12290" width="6.6640625" style="187" customWidth="1"/>
    <col min="12291" max="12291" width="24.6640625" style="187" customWidth="1"/>
    <col min="12292" max="12292" width="13" style="187" customWidth="1"/>
    <col min="12293" max="12294" width="15.5" style="187" customWidth="1"/>
    <col min="12295" max="12295" width="11.5" style="187" customWidth="1"/>
    <col min="12296" max="12296" width="13" style="187" customWidth="1"/>
    <col min="12297" max="12298" width="14" style="187" customWidth="1"/>
    <col min="12299" max="12299" width="13.33203125" style="187" customWidth="1"/>
    <col min="12300" max="12300" width="14.6640625" style="187" customWidth="1"/>
    <col min="12301" max="12545" width="9.33203125" style="187"/>
    <col min="12546" max="12546" width="6.6640625" style="187" customWidth="1"/>
    <col min="12547" max="12547" width="24.6640625" style="187" customWidth="1"/>
    <col min="12548" max="12548" width="13" style="187" customWidth="1"/>
    <col min="12549" max="12550" width="15.5" style="187" customWidth="1"/>
    <col min="12551" max="12551" width="11.5" style="187" customWidth="1"/>
    <col min="12552" max="12552" width="13" style="187" customWidth="1"/>
    <col min="12553" max="12554" width="14" style="187" customWidth="1"/>
    <col min="12555" max="12555" width="13.33203125" style="187" customWidth="1"/>
    <col min="12556" max="12556" width="14.6640625" style="187" customWidth="1"/>
    <col min="12557" max="12801" width="9.33203125" style="187"/>
    <col min="12802" max="12802" width="6.6640625" style="187" customWidth="1"/>
    <col min="12803" max="12803" width="24.6640625" style="187" customWidth="1"/>
    <col min="12804" max="12804" width="13" style="187" customWidth="1"/>
    <col min="12805" max="12806" width="15.5" style="187" customWidth="1"/>
    <col min="12807" max="12807" width="11.5" style="187" customWidth="1"/>
    <col min="12808" max="12808" width="13" style="187" customWidth="1"/>
    <col min="12809" max="12810" width="14" style="187" customWidth="1"/>
    <col min="12811" max="12811" width="13.33203125" style="187" customWidth="1"/>
    <col min="12812" max="12812" width="14.6640625" style="187" customWidth="1"/>
    <col min="12813" max="13057" width="9.33203125" style="187"/>
    <col min="13058" max="13058" width="6.6640625" style="187" customWidth="1"/>
    <col min="13059" max="13059" width="24.6640625" style="187" customWidth="1"/>
    <col min="13060" max="13060" width="13" style="187" customWidth="1"/>
    <col min="13061" max="13062" width="15.5" style="187" customWidth="1"/>
    <col min="13063" max="13063" width="11.5" style="187" customWidth="1"/>
    <col min="13064" max="13064" width="13" style="187" customWidth="1"/>
    <col min="13065" max="13066" width="14" style="187" customWidth="1"/>
    <col min="13067" max="13067" width="13.33203125" style="187" customWidth="1"/>
    <col min="13068" max="13068" width="14.6640625" style="187" customWidth="1"/>
    <col min="13069" max="13313" width="9.33203125" style="187"/>
    <col min="13314" max="13314" width="6.6640625" style="187" customWidth="1"/>
    <col min="13315" max="13315" width="24.6640625" style="187" customWidth="1"/>
    <col min="13316" max="13316" width="13" style="187" customWidth="1"/>
    <col min="13317" max="13318" width="15.5" style="187" customWidth="1"/>
    <col min="13319" max="13319" width="11.5" style="187" customWidth="1"/>
    <col min="13320" max="13320" width="13" style="187" customWidth="1"/>
    <col min="13321" max="13322" width="14" style="187" customWidth="1"/>
    <col min="13323" max="13323" width="13.33203125" style="187" customWidth="1"/>
    <col min="13324" max="13324" width="14.6640625" style="187" customWidth="1"/>
    <col min="13325" max="13569" width="9.33203125" style="187"/>
    <col min="13570" max="13570" width="6.6640625" style="187" customWidth="1"/>
    <col min="13571" max="13571" width="24.6640625" style="187" customWidth="1"/>
    <col min="13572" max="13572" width="13" style="187" customWidth="1"/>
    <col min="13573" max="13574" width="15.5" style="187" customWidth="1"/>
    <col min="13575" max="13575" width="11.5" style="187" customWidth="1"/>
    <col min="13576" max="13576" width="13" style="187" customWidth="1"/>
    <col min="13577" max="13578" width="14" style="187" customWidth="1"/>
    <col min="13579" max="13579" width="13.33203125" style="187" customWidth="1"/>
    <col min="13580" max="13580" width="14.6640625" style="187" customWidth="1"/>
    <col min="13581" max="13825" width="9.33203125" style="187"/>
    <col min="13826" max="13826" width="6.6640625" style="187" customWidth="1"/>
    <col min="13827" max="13827" width="24.6640625" style="187" customWidth="1"/>
    <col min="13828" max="13828" width="13" style="187" customWidth="1"/>
    <col min="13829" max="13830" width="15.5" style="187" customWidth="1"/>
    <col min="13831" max="13831" width="11.5" style="187" customWidth="1"/>
    <col min="13832" max="13832" width="13" style="187" customWidth="1"/>
    <col min="13833" max="13834" width="14" style="187" customWidth="1"/>
    <col min="13835" max="13835" width="13.33203125" style="187" customWidth="1"/>
    <col min="13836" max="13836" width="14.6640625" style="187" customWidth="1"/>
    <col min="13837" max="14081" width="9.33203125" style="187"/>
    <col min="14082" max="14082" width="6.6640625" style="187" customWidth="1"/>
    <col min="14083" max="14083" width="24.6640625" style="187" customWidth="1"/>
    <col min="14084" max="14084" width="13" style="187" customWidth="1"/>
    <col min="14085" max="14086" width="15.5" style="187" customWidth="1"/>
    <col min="14087" max="14087" width="11.5" style="187" customWidth="1"/>
    <col min="14088" max="14088" width="13" style="187" customWidth="1"/>
    <col min="14089" max="14090" width="14" style="187" customWidth="1"/>
    <col min="14091" max="14091" width="13.33203125" style="187" customWidth="1"/>
    <col min="14092" max="14092" width="14.6640625" style="187" customWidth="1"/>
    <col min="14093" max="14337" width="9.33203125" style="187"/>
    <col min="14338" max="14338" width="6.6640625" style="187" customWidth="1"/>
    <col min="14339" max="14339" width="24.6640625" style="187" customWidth="1"/>
    <col min="14340" max="14340" width="13" style="187" customWidth="1"/>
    <col min="14341" max="14342" width="15.5" style="187" customWidth="1"/>
    <col min="14343" max="14343" width="11.5" style="187" customWidth="1"/>
    <col min="14344" max="14344" width="13" style="187" customWidth="1"/>
    <col min="14345" max="14346" width="14" style="187" customWidth="1"/>
    <col min="14347" max="14347" width="13.33203125" style="187" customWidth="1"/>
    <col min="14348" max="14348" width="14.6640625" style="187" customWidth="1"/>
    <col min="14349" max="14593" width="9.33203125" style="187"/>
    <col min="14594" max="14594" width="6.6640625" style="187" customWidth="1"/>
    <col min="14595" max="14595" width="24.6640625" style="187" customWidth="1"/>
    <col min="14596" max="14596" width="13" style="187" customWidth="1"/>
    <col min="14597" max="14598" width="15.5" style="187" customWidth="1"/>
    <col min="14599" max="14599" width="11.5" style="187" customWidth="1"/>
    <col min="14600" max="14600" width="13" style="187" customWidth="1"/>
    <col min="14601" max="14602" width="14" style="187" customWidth="1"/>
    <col min="14603" max="14603" width="13.33203125" style="187" customWidth="1"/>
    <col min="14604" max="14604" width="14.6640625" style="187" customWidth="1"/>
    <col min="14605" max="14849" width="9.33203125" style="187"/>
    <col min="14850" max="14850" width="6.6640625" style="187" customWidth="1"/>
    <col min="14851" max="14851" width="24.6640625" style="187" customWidth="1"/>
    <col min="14852" max="14852" width="13" style="187" customWidth="1"/>
    <col min="14853" max="14854" width="15.5" style="187" customWidth="1"/>
    <col min="14855" max="14855" width="11.5" style="187" customWidth="1"/>
    <col min="14856" max="14856" width="13" style="187" customWidth="1"/>
    <col min="14857" max="14858" width="14" style="187" customWidth="1"/>
    <col min="14859" max="14859" width="13.33203125" style="187" customWidth="1"/>
    <col min="14860" max="14860" width="14.6640625" style="187" customWidth="1"/>
    <col min="14861" max="15105" width="9.33203125" style="187"/>
    <col min="15106" max="15106" width="6.6640625" style="187" customWidth="1"/>
    <col min="15107" max="15107" width="24.6640625" style="187" customWidth="1"/>
    <col min="15108" max="15108" width="13" style="187" customWidth="1"/>
    <col min="15109" max="15110" width="15.5" style="187" customWidth="1"/>
    <col min="15111" max="15111" width="11.5" style="187" customWidth="1"/>
    <col min="15112" max="15112" width="13" style="187" customWidth="1"/>
    <col min="15113" max="15114" width="14" style="187" customWidth="1"/>
    <col min="15115" max="15115" width="13.33203125" style="187" customWidth="1"/>
    <col min="15116" max="15116" width="14.6640625" style="187" customWidth="1"/>
    <col min="15117" max="15361" width="9.33203125" style="187"/>
    <col min="15362" max="15362" width="6.6640625" style="187" customWidth="1"/>
    <col min="15363" max="15363" width="24.6640625" style="187" customWidth="1"/>
    <col min="15364" max="15364" width="13" style="187" customWidth="1"/>
    <col min="15365" max="15366" width="15.5" style="187" customWidth="1"/>
    <col min="15367" max="15367" width="11.5" style="187" customWidth="1"/>
    <col min="15368" max="15368" width="13" style="187" customWidth="1"/>
    <col min="15369" max="15370" width="14" style="187" customWidth="1"/>
    <col min="15371" max="15371" width="13.33203125" style="187" customWidth="1"/>
    <col min="15372" max="15372" width="14.6640625" style="187" customWidth="1"/>
    <col min="15373" max="15617" width="9.33203125" style="187"/>
    <col min="15618" max="15618" width="6.6640625" style="187" customWidth="1"/>
    <col min="15619" max="15619" width="24.6640625" style="187" customWidth="1"/>
    <col min="15620" max="15620" width="13" style="187" customWidth="1"/>
    <col min="15621" max="15622" width="15.5" style="187" customWidth="1"/>
    <col min="15623" max="15623" width="11.5" style="187" customWidth="1"/>
    <col min="15624" max="15624" width="13" style="187" customWidth="1"/>
    <col min="15625" max="15626" width="14" style="187" customWidth="1"/>
    <col min="15627" max="15627" width="13.33203125" style="187" customWidth="1"/>
    <col min="15628" max="15628" width="14.6640625" style="187" customWidth="1"/>
    <col min="15629" max="15873" width="9.33203125" style="187"/>
    <col min="15874" max="15874" width="6.6640625" style="187" customWidth="1"/>
    <col min="15875" max="15875" width="24.6640625" style="187" customWidth="1"/>
    <col min="15876" max="15876" width="13" style="187" customWidth="1"/>
    <col min="15877" max="15878" width="15.5" style="187" customWidth="1"/>
    <col min="15879" max="15879" width="11.5" style="187" customWidth="1"/>
    <col min="15880" max="15880" width="13" style="187" customWidth="1"/>
    <col min="15881" max="15882" width="14" style="187" customWidth="1"/>
    <col min="15883" max="15883" width="13.33203125" style="187" customWidth="1"/>
    <col min="15884" max="15884" width="14.6640625" style="187" customWidth="1"/>
    <col min="15885" max="16129" width="9.33203125" style="187"/>
    <col min="16130" max="16130" width="6.6640625" style="187" customWidth="1"/>
    <col min="16131" max="16131" width="24.6640625" style="187" customWidth="1"/>
    <col min="16132" max="16132" width="13" style="187" customWidth="1"/>
    <col min="16133" max="16134" width="15.5" style="187" customWidth="1"/>
    <col min="16135" max="16135" width="11.5" style="187" customWidth="1"/>
    <col min="16136" max="16136" width="13" style="187" customWidth="1"/>
    <col min="16137" max="16138" width="14" style="187" customWidth="1"/>
    <col min="16139" max="16139" width="13.33203125" style="187" customWidth="1"/>
    <col min="16140" max="16140" width="14.6640625" style="187" customWidth="1"/>
    <col min="16141" max="16384" width="9.33203125" style="187"/>
  </cols>
  <sheetData>
    <row r="1" spans="1:12" ht="33" customHeight="1" x14ac:dyDescent="0.2">
      <c r="A1" s="1162" t="s">
        <v>742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</row>
    <row r="2" spans="1:12" ht="15" x14ac:dyDescent="0.2">
      <c r="A2" s="188"/>
      <c r="B2" s="189"/>
      <c r="C2" s="189"/>
      <c r="D2" s="190"/>
      <c r="E2" s="191"/>
      <c r="F2" s="191"/>
      <c r="G2" s="192"/>
      <c r="H2" s="192"/>
      <c r="I2" s="191"/>
    </row>
    <row r="3" spans="1:12" ht="15" x14ac:dyDescent="0.2">
      <c r="A3" s="188"/>
      <c r="B3" s="193"/>
      <c r="C3" s="193"/>
      <c r="D3" s="194"/>
      <c r="E3" s="190"/>
      <c r="F3" s="190"/>
      <c r="G3" s="190"/>
      <c r="H3" s="190"/>
      <c r="I3" s="190"/>
      <c r="L3" s="226" t="s">
        <v>1</v>
      </c>
    </row>
    <row r="4" spans="1:12" s="202" customFormat="1" ht="69.75" customHeight="1" x14ac:dyDescent="0.2">
      <c r="A4" s="196" t="s">
        <v>365</v>
      </c>
      <c r="B4" s="197" t="s">
        <v>401</v>
      </c>
      <c r="C4" s="197" t="s">
        <v>402</v>
      </c>
      <c r="D4" s="197" t="s">
        <v>609</v>
      </c>
      <c r="E4" s="197" t="s">
        <v>403</v>
      </c>
      <c r="F4" s="197" t="s">
        <v>404</v>
      </c>
      <c r="G4" s="198" t="s">
        <v>405</v>
      </c>
      <c r="H4" s="198" t="s">
        <v>375</v>
      </c>
      <c r="I4" s="199" t="s">
        <v>406</v>
      </c>
      <c r="J4" s="200" t="s">
        <v>184</v>
      </c>
      <c r="K4" s="624" t="s">
        <v>610</v>
      </c>
      <c r="L4" s="228" t="s">
        <v>407</v>
      </c>
    </row>
    <row r="5" spans="1:12" ht="31.5" customHeight="1" x14ac:dyDescent="0.2">
      <c r="A5" s="203" t="s">
        <v>9</v>
      </c>
      <c r="B5" s="916" t="s">
        <v>410</v>
      </c>
      <c r="C5" s="917" t="s">
        <v>411</v>
      </c>
      <c r="D5" s="626"/>
      <c r="E5" s="627"/>
      <c r="F5" s="627"/>
      <c r="G5" s="628"/>
      <c r="H5" s="628"/>
      <c r="I5" s="627"/>
      <c r="J5" s="629"/>
      <c r="K5" s="630"/>
      <c r="L5" s="642">
        <f>SUM(D5:K5)</f>
        <v>0</v>
      </c>
    </row>
    <row r="6" spans="1:12" ht="39" customHeight="1" x14ac:dyDescent="0.2">
      <c r="A6" s="203" t="s">
        <v>12</v>
      </c>
      <c r="B6" s="916" t="s">
        <v>612</v>
      </c>
      <c r="C6" s="917" t="s">
        <v>611</v>
      </c>
      <c r="D6" s="626"/>
      <c r="E6" s="627"/>
      <c r="F6" s="627"/>
      <c r="G6" s="628"/>
      <c r="H6" s="628"/>
      <c r="I6" s="627"/>
      <c r="J6" s="629"/>
      <c r="K6" s="630"/>
      <c r="L6" s="642">
        <f>SUM(D6:K6)</f>
        <v>0</v>
      </c>
    </row>
    <row r="7" spans="1:12" ht="31.5" customHeight="1" x14ac:dyDescent="0.2">
      <c r="A7" s="204" t="s">
        <v>15</v>
      </c>
      <c r="B7" s="920" t="s">
        <v>614</v>
      </c>
      <c r="C7" s="921" t="s">
        <v>613</v>
      </c>
      <c r="D7" s="631"/>
      <c r="E7" s="632"/>
      <c r="F7" s="632"/>
      <c r="G7" s="633"/>
      <c r="H7" s="633"/>
      <c r="I7" s="632"/>
      <c r="J7" s="240"/>
      <c r="K7" s="634"/>
      <c r="L7" s="643">
        <f>SUM(D7:K7)</f>
        <v>0</v>
      </c>
    </row>
    <row r="8" spans="1:12" s="209" customFormat="1" ht="33" customHeight="1" x14ac:dyDescent="0.25">
      <c r="A8" s="205" t="s">
        <v>18</v>
      </c>
      <c r="B8" s="206" t="s">
        <v>366</v>
      </c>
      <c r="C8" s="207"/>
      <c r="D8" s="208">
        <f t="shared" ref="D8:L8" si="0">SUM(D5:D7)</f>
        <v>0</v>
      </c>
      <c r="E8" s="208">
        <f t="shared" si="0"/>
        <v>0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641">
        <f t="shared" si="0"/>
        <v>0</v>
      </c>
      <c r="L8" s="644">
        <f t="shared" si="0"/>
        <v>0</v>
      </c>
    </row>
    <row r="9" spans="1:12" ht="21" customHeight="1" x14ac:dyDescent="0.2">
      <c r="A9" s="210"/>
      <c r="B9" s="211"/>
      <c r="C9" s="211"/>
      <c r="D9" s="212"/>
      <c r="E9" s="213"/>
      <c r="F9" s="212"/>
      <c r="G9" s="212"/>
      <c r="H9" s="212"/>
      <c r="I9" s="214"/>
    </row>
    <row r="10" spans="1:12" ht="42" customHeight="1" x14ac:dyDescent="0.2">
      <c r="A10" s="210"/>
      <c r="B10" s="215"/>
      <c r="C10" s="216"/>
      <c r="D10" s="217"/>
      <c r="E10" s="213"/>
      <c r="F10" s="213"/>
      <c r="G10" s="212"/>
      <c r="H10" s="212"/>
      <c r="I10" s="212"/>
    </row>
    <row r="11" spans="1:12" ht="42" customHeight="1" x14ac:dyDescent="0.2">
      <c r="A11" s="218"/>
      <c r="B11" s="219"/>
      <c r="C11" s="220"/>
      <c r="D11" s="221"/>
      <c r="E11" s="191"/>
      <c r="F11" s="191"/>
      <c r="G11" s="192"/>
      <c r="H11" s="192"/>
      <c r="I11" s="192"/>
    </row>
    <row r="12" spans="1:12" ht="15" x14ac:dyDescent="0.2">
      <c r="A12" s="188"/>
      <c r="B12" s="189"/>
      <c r="C12" s="189"/>
      <c r="D12" s="190"/>
      <c r="E12" s="190"/>
      <c r="F12" s="190"/>
      <c r="G12" s="190"/>
      <c r="H12" s="190"/>
      <c r="I12" s="190"/>
    </row>
    <row r="13" spans="1:12" s="223" customFormat="1" ht="15" x14ac:dyDescent="0.2">
      <c r="A13" s="188"/>
      <c r="B13" s="189"/>
      <c r="C13" s="189"/>
      <c r="D13" s="190"/>
      <c r="E13" s="191"/>
      <c r="F13" s="222"/>
      <c r="G13" s="222"/>
      <c r="H13" s="222"/>
      <c r="I13" s="222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……/2017. (……)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3"/>
  <sheetViews>
    <sheetView workbookViewId="0">
      <selection sqref="A1:M1"/>
    </sheetView>
  </sheetViews>
  <sheetFormatPr defaultRowHeight="12.75" x14ac:dyDescent="0.2"/>
  <cols>
    <col min="1" max="1" width="5.83203125" style="224" customWidth="1"/>
    <col min="2" max="2" width="22.33203125" style="187" customWidth="1"/>
    <col min="3" max="3" width="13" style="187" customWidth="1"/>
    <col min="4" max="4" width="12.83203125" style="225" customWidth="1"/>
    <col min="5" max="5" width="15.5" style="225" customWidth="1"/>
    <col min="6" max="6" width="11.1640625" style="225" customWidth="1"/>
    <col min="7" max="7" width="13.33203125" style="225" customWidth="1"/>
    <col min="8" max="9" width="14" style="225" customWidth="1"/>
    <col min="10" max="10" width="13.33203125" style="187" customWidth="1"/>
    <col min="11" max="11" width="12.33203125" style="187" customWidth="1"/>
    <col min="12" max="12" width="14.33203125" style="187" customWidth="1"/>
    <col min="13" max="13" width="15.1640625" style="187" customWidth="1"/>
    <col min="14" max="256" width="9.33203125" style="187"/>
    <col min="257" max="257" width="5.83203125" style="187" customWidth="1"/>
    <col min="258" max="258" width="22.33203125" style="187" customWidth="1"/>
    <col min="259" max="259" width="13" style="187" customWidth="1"/>
    <col min="260" max="260" width="11" style="187" customWidth="1"/>
    <col min="261" max="261" width="15.5" style="187" customWidth="1"/>
    <col min="262" max="262" width="11.1640625" style="187" customWidth="1"/>
    <col min="263" max="263" width="13.33203125" style="187" customWidth="1"/>
    <col min="264" max="265" width="14" style="187" customWidth="1"/>
    <col min="266" max="266" width="13.33203125" style="187" customWidth="1"/>
    <col min="267" max="267" width="12.33203125" style="187" customWidth="1"/>
    <col min="268" max="268" width="14.33203125" style="187" customWidth="1"/>
    <col min="269" max="269" width="15.1640625" style="187" customWidth="1"/>
    <col min="270" max="512" width="9.33203125" style="187"/>
    <col min="513" max="513" width="5.83203125" style="187" customWidth="1"/>
    <col min="514" max="514" width="22.33203125" style="187" customWidth="1"/>
    <col min="515" max="515" width="13" style="187" customWidth="1"/>
    <col min="516" max="516" width="11" style="187" customWidth="1"/>
    <col min="517" max="517" width="15.5" style="187" customWidth="1"/>
    <col min="518" max="518" width="11.1640625" style="187" customWidth="1"/>
    <col min="519" max="519" width="13.33203125" style="187" customWidth="1"/>
    <col min="520" max="521" width="14" style="187" customWidth="1"/>
    <col min="522" max="522" width="13.33203125" style="187" customWidth="1"/>
    <col min="523" max="523" width="12.33203125" style="187" customWidth="1"/>
    <col min="524" max="524" width="14.33203125" style="187" customWidth="1"/>
    <col min="525" max="525" width="15.1640625" style="187" customWidth="1"/>
    <col min="526" max="768" width="9.33203125" style="187"/>
    <col min="769" max="769" width="5.83203125" style="187" customWidth="1"/>
    <col min="770" max="770" width="22.33203125" style="187" customWidth="1"/>
    <col min="771" max="771" width="13" style="187" customWidth="1"/>
    <col min="772" max="772" width="11" style="187" customWidth="1"/>
    <col min="773" max="773" width="15.5" style="187" customWidth="1"/>
    <col min="774" max="774" width="11.1640625" style="187" customWidth="1"/>
    <col min="775" max="775" width="13.33203125" style="187" customWidth="1"/>
    <col min="776" max="777" width="14" style="187" customWidth="1"/>
    <col min="778" max="778" width="13.33203125" style="187" customWidth="1"/>
    <col min="779" max="779" width="12.33203125" style="187" customWidth="1"/>
    <col min="780" max="780" width="14.33203125" style="187" customWidth="1"/>
    <col min="781" max="781" width="15.1640625" style="187" customWidth="1"/>
    <col min="782" max="1024" width="9.33203125" style="187"/>
    <col min="1025" max="1025" width="5.83203125" style="187" customWidth="1"/>
    <col min="1026" max="1026" width="22.33203125" style="187" customWidth="1"/>
    <col min="1027" max="1027" width="13" style="187" customWidth="1"/>
    <col min="1028" max="1028" width="11" style="187" customWidth="1"/>
    <col min="1029" max="1029" width="15.5" style="187" customWidth="1"/>
    <col min="1030" max="1030" width="11.1640625" style="187" customWidth="1"/>
    <col min="1031" max="1031" width="13.33203125" style="187" customWidth="1"/>
    <col min="1032" max="1033" width="14" style="187" customWidth="1"/>
    <col min="1034" max="1034" width="13.33203125" style="187" customWidth="1"/>
    <col min="1035" max="1035" width="12.33203125" style="187" customWidth="1"/>
    <col min="1036" max="1036" width="14.33203125" style="187" customWidth="1"/>
    <col min="1037" max="1037" width="15.1640625" style="187" customWidth="1"/>
    <col min="1038" max="1280" width="9.33203125" style="187"/>
    <col min="1281" max="1281" width="5.83203125" style="187" customWidth="1"/>
    <col min="1282" max="1282" width="22.33203125" style="187" customWidth="1"/>
    <col min="1283" max="1283" width="13" style="187" customWidth="1"/>
    <col min="1284" max="1284" width="11" style="187" customWidth="1"/>
    <col min="1285" max="1285" width="15.5" style="187" customWidth="1"/>
    <col min="1286" max="1286" width="11.1640625" style="187" customWidth="1"/>
    <col min="1287" max="1287" width="13.33203125" style="187" customWidth="1"/>
    <col min="1288" max="1289" width="14" style="187" customWidth="1"/>
    <col min="1290" max="1290" width="13.33203125" style="187" customWidth="1"/>
    <col min="1291" max="1291" width="12.33203125" style="187" customWidth="1"/>
    <col min="1292" max="1292" width="14.33203125" style="187" customWidth="1"/>
    <col min="1293" max="1293" width="15.1640625" style="187" customWidth="1"/>
    <col min="1294" max="1536" width="9.33203125" style="187"/>
    <col min="1537" max="1537" width="5.83203125" style="187" customWidth="1"/>
    <col min="1538" max="1538" width="22.33203125" style="187" customWidth="1"/>
    <col min="1539" max="1539" width="13" style="187" customWidth="1"/>
    <col min="1540" max="1540" width="11" style="187" customWidth="1"/>
    <col min="1541" max="1541" width="15.5" style="187" customWidth="1"/>
    <col min="1542" max="1542" width="11.1640625" style="187" customWidth="1"/>
    <col min="1543" max="1543" width="13.33203125" style="187" customWidth="1"/>
    <col min="1544" max="1545" width="14" style="187" customWidth="1"/>
    <col min="1546" max="1546" width="13.33203125" style="187" customWidth="1"/>
    <col min="1547" max="1547" width="12.33203125" style="187" customWidth="1"/>
    <col min="1548" max="1548" width="14.33203125" style="187" customWidth="1"/>
    <col min="1549" max="1549" width="15.1640625" style="187" customWidth="1"/>
    <col min="1550" max="1792" width="9.33203125" style="187"/>
    <col min="1793" max="1793" width="5.83203125" style="187" customWidth="1"/>
    <col min="1794" max="1794" width="22.33203125" style="187" customWidth="1"/>
    <col min="1795" max="1795" width="13" style="187" customWidth="1"/>
    <col min="1796" max="1796" width="11" style="187" customWidth="1"/>
    <col min="1797" max="1797" width="15.5" style="187" customWidth="1"/>
    <col min="1798" max="1798" width="11.1640625" style="187" customWidth="1"/>
    <col min="1799" max="1799" width="13.33203125" style="187" customWidth="1"/>
    <col min="1800" max="1801" width="14" style="187" customWidth="1"/>
    <col min="1802" max="1802" width="13.33203125" style="187" customWidth="1"/>
    <col min="1803" max="1803" width="12.33203125" style="187" customWidth="1"/>
    <col min="1804" max="1804" width="14.33203125" style="187" customWidth="1"/>
    <col min="1805" max="1805" width="15.1640625" style="187" customWidth="1"/>
    <col min="1806" max="2048" width="9.33203125" style="187"/>
    <col min="2049" max="2049" width="5.83203125" style="187" customWidth="1"/>
    <col min="2050" max="2050" width="22.33203125" style="187" customWidth="1"/>
    <col min="2051" max="2051" width="13" style="187" customWidth="1"/>
    <col min="2052" max="2052" width="11" style="187" customWidth="1"/>
    <col min="2053" max="2053" width="15.5" style="187" customWidth="1"/>
    <col min="2054" max="2054" width="11.1640625" style="187" customWidth="1"/>
    <col min="2055" max="2055" width="13.33203125" style="187" customWidth="1"/>
    <col min="2056" max="2057" width="14" style="187" customWidth="1"/>
    <col min="2058" max="2058" width="13.33203125" style="187" customWidth="1"/>
    <col min="2059" max="2059" width="12.33203125" style="187" customWidth="1"/>
    <col min="2060" max="2060" width="14.33203125" style="187" customWidth="1"/>
    <col min="2061" max="2061" width="15.1640625" style="187" customWidth="1"/>
    <col min="2062" max="2304" width="9.33203125" style="187"/>
    <col min="2305" max="2305" width="5.83203125" style="187" customWidth="1"/>
    <col min="2306" max="2306" width="22.33203125" style="187" customWidth="1"/>
    <col min="2307" max="2307" width="13" style="187" customWidth="1"/>
    <col min="2308" max="2308" width="11" style="187" customWidth="1"/>
    <col min="2309" max="2309" width="15.5" style="187" customWidth="1"/>
    <col min="2310" max="2310" width="11.1640625" style="187" customWidth="1"/>
    <col min="2311" max="2311" width="13.33203125" style="187" customWidth="1"/>
    <col min="2312" max="2313" width="14" style="187" customWidth="1"/>
    <col min="2314" max="2314" width="13.33203125" style="187" customWidth="1"/>
    <col min="2315" max="2315" width="12.33203125" style="187" customWidth="1"/>
    <col min="2316" max="2316" width="14.33203125" style="187" customWidth="1"/>
    <col min="2317" max="2317" width="15.1640625" style="187" customWidth="1"/>
    <col min="2318" max="2560" width="9.33203125" style="187"/>
    <col min="2561" max="2561" width="5.83203125" style="187" customWidth="1"/>
    <col min="2562" max="2562" width="22.33203125" style="187" customWidth="1"/>
    <col min="2563" max="2563" width="13" style="187" customWidth="1"/>
    <col min="2564" max="2564" width="11" style="187" customWidth="1"/>
    <col min="2565" max="2565" width="15.5" style="187" customWidth="1"/>
    <col min="2566" max="2566" width="11.1640625" style="187" customWidth="1"/>
    <col min="2567" max="2567" width="13.33203125" style="187" customWidth="1"/>
    <col min="2568" max="2569" width="14" style="187" customWidth="1"/>
    <col min="2570" max="2570" width="13.33203125" style="187" customWidth="1"/>
    <col min="2571" max="2571" width="12.33203125" style="187" customWidth="1"/>
    <col min="2572" max="2572" width="14.33203125" style="187" customWidth="1"/>
    <col min="2573" max="2573" width="15.1640625" style="187" customWidth="1"/>
    <col min="2574" max="2816" width="9.33203125" style="187"/>
    <col min="2817" max="2817" width="5.83203125" style="187" customWidth="1"/>
    <col min="2818" max="2818" width="22.33203125" style="187" customWidth="1"/>
    <col min="2819" max="2819" width="13" style="187" customWidth="1"/>
    <col min="2820" max="2820" width="11" style="187" customWidth="1"/>
    <col min="2821" max="2821" width="15.5" style="187" customWidth="1"/>
    <col min="2822" max="2822" width="11.1640625" style="187" customWidth="1"/>
    <col min="2823" max="2823" width="13.33203125" style="187" customWidth="1"/>
    <col min="2824" max="2825" width="14" style="187" customWidth="1"/>
    <col min="2826" max="2826" width="13.33203125" style="187" customWidth="1"/>
    <col min="2827" max="2827" width="12.33203125" style="187" customWidth="1"/>
    <col min="2828" max="2828" width="14.33203125" style="187" customWidth="1"/>
    <col min="2829" max="2829" width="15.1640625" style="187" customWidth="1"/>
    <col min="2830" max="3072" width="9.33203125" style="187"/>
    <col min="3073" max="3073" width="5.83203125" style="187" customWidth="1"/>
    <col min="3074" max="3074" width="22.33203125" style="187" customWidth="1"/>
    <col min="3075" max="3075" width="13" style="187" customWidth="1"/>
    <col min="3076" max="3076" width="11" style="187" customWidth="1"/>
    <col min="3077" max="3077" width="15.5" style="187" customWidth="1"/>
    <col min="3078" max="3078" width="11.1640625" style="187" customWidth="1"/>
    <col min="3079" max="3079" width="13.33203125" style="187" customWidth="1"/>
    <col min="3080" max="3081" width="14" style="187" customWidth="1"/>
    <col min="3082" max="3082" width="13.33203125" style="187" customWidth="1"/>
    <col min="3083" max="3083" width="12.33203125" style="187" customWidth="1"/>
    <col min="3084" max="3084" width="14.33203125" style="187" customWidth="1"/>
    <col min="3085" max="3085" width="15.1640625" style="187" customWidth="1"/>
    <col min="3086" max="3328" width="9.33203125" style="187"/>
    <col min="3329" max="3329" width="5.83203125" style="187" customWidth="1"/>
    <col min="3330" max="3330" width="22.33203125" style="187" customWidth="1"/>
    <col min="3331" max="3331" width="13" style="187" customWidth="1"/>
    <col min="3332" max="3332" width="11" style="187" customWidth="1"/>
    <col min="3333" max="3333" width="15.5" style="187" customWidth="1"/>
    <col min="3334" max="3334" width="11.1640625" style="187" customWidth="1"/>
    <col min="3335" max="3335" width="13.33203125" style="187" customWidth="1"/>
    <col min="3336" max="3337" width="14" style="187" customWidth="1"/>
    <col min="3338" max="3338" width="13.33203125" style="187" customWidth="1"/>
    <col min="3339" max="3339" width="12.33203125" style="187" customWidth="1"/>
    <col min="3340" max="3340" width="14.33203125" style="187" customWidth="1"/>
    <col min="3341" max="3341" width="15.1640625" style="187" customWidth="1"/>
    <col min="3342" max="3584" width="9.33203125" style="187"/>
    <col min="3585" max="3585" width="5.83203125" style="187" customWidth="1"/>
    <col min="3586" max="3586" width="22.33203125" style="187" customWidth="1"/>
    <col min="3587" max="3587" width="13" style="187" customWidth="1"/>
    <col min="3588" max="3588" width="11" style="187" customWidth="1"/>
    <col min="3589" max="3589" width="15.5" style="187" customWidth="1"/>
    <col min="3590" max="3590" width="11.1640625" style="187" customWidth="1"/>
    <col min="3591" max="3591" width="13.33203125" style="187" customWidth="1"/>
    <col min="3592" max="3593" width="14" style="187" customWidth="1"/>
    <col min="3594" max="3594" width="13.33203125" style="187" customWidth="1"/>
    <col min="3595" max="3595" width="12.33203125" style="187" customWidth="1"/>
    <col min="3596" max="3596" width="14.33203125" style="187" customWidth="1"/>
    <col min="3597" max="3597" width="15.1640625" style="187" customWidth="1"/>
    <col min="3598" max="3840" width="9.33203125" style="187"/>
    <col min="3841" max="3841" width="5.83203125" style="187" customWidth="1"/>
    <col min="3842" max="3842" width="22.33203125" style="187" customWidth="1"/>
    <col min="3843" max="3843" width="13" style="187" customWidth="1"/>
    <col min="3844" max="3844" width="11" style="187" customWidth="1"/>
    <col min="3845" max="3845" width="15.5" style="187" customWidth="1"/>
    <col min="3846" max="3846" width="11.1640625" style="187" customWidth="1"/>
    <col min="3847" max="3847" width="13.33203125" style="187" customWidth="1"/>
    <col min="3848" max="3849" width="14" style="187" customWidth="1"/>
    <col min="3850" max="3850" width="13.33203125" style="187" customWidth="1"/>
    <col min="3851" max="3851" width="12.33203125" style="187" customWidth="1"/>
    <col min="3852" max="3852" width="14.33203125" style="187" customWidth="1"/>
    <col min="3853" max="3853" width="15.1640625" style="187" customWidth="1"/>
    <col min="3854" max="4096" width="9.33203125" style="187"/>
    <col min="4097" max="4097" width="5.83203125" style="187" customWidth="1"/>
    <col min="4098" max="4098" width="22.33203125" style="187" customWidth="1"/>
    <col min="4099" max="4099" width="13" style="187" customWidth="1"/>
    <col min="4100" max="4100" width="11" style="187" customWidth="1"/>
    <col min="4101" max="4101" width="15.5" style="187" customWidth="1"/>
    <col min="4102" max="4102" width="11.1640625" style="187" customWidth="1"/>
    <col min="4103" max="4103" width="13.33203125" style="187" customWidth="1"/>
    <col min="4104" max="4105" width="14" style="187" customWidth="1"/>
    <col min="4106" max="4106" width="13.33203125" style="187" customWidth="1"/>
    <col min="4107" max="4107" width="12.33203125" style="187" customWidth="1"/>
    <col min="4108" max="4108" width="14.33203125" style="187" customWidth="1"/>
    <col min="4109" max="4109" width="15.1640625" style="187" customWidth="1"/>
    <col min="4110" max="4352" width="9.33203125" style="187"/>
    <col min="4353" max="4353" width="5.83203125" style="187" customWidth="1"/>
    <col min="4354" max="4354" width="22.33203125" style="187" customWidth="1"/>
    <col min="4355" max="4355" width="13" style="187" customWidth="1"/>
    <col min="4356" max="4356" width="11" style="187" customWidth="1"/>
    <col min="4357" max="4357" width="15.5" style="187" customWidth="1"/>
    <col min="4358" max="4358" width="11.1640625" style="187" customWidth="1"/>
    <col min="4359" max="4359" width="13.33203125" style="187" customWidth="1"/>
    <col min="4360" max="4361" width="14" style="187" customWidth="1"/>
    <col min="4362" max="4362" width="13.33203125" style="187" customWidth="1"/>
    <col min="4363" max="4363" width="12.33203125" style="187" customWidth="1"/>
    <col min="4364" max="4364" width="14.33203125" style="187" customWidth="1"/>
    <col min="4365" max="4365" width="15.1640625" style="187" customWidth="1"/>
    <col min="4366" max="4608" width="9.33203125" style="187"/>
    <col min="4609" max="4609" width="5.83203125" style="187" customWidth="1"/>
    <col min="4610" max="4610" width="22.33203125" style="187" customWidth="1"/>
    <col min="4611" max="4611" width="13" style="187" customWidth="1"/>
    <col min="4612" max="4612" width="11" style="187" customWidth="1"/>
    <col min="4613" max="4613" width="15.5" style="187" customWidth="1"/>
    <col min="4614" max="4614" width="11.1640625" style="187" customWidth="1"/>
    <col min="4615" max="4615" width="13.33203125" style="187" customWidth="1"/>
    <col min="4616" max="4617" width="14" style="187" customWidth="1"/>
    <col min="4618" max="4618" width="13.33203125" style="187" customWidth="1"/>
    <col min="4619" max="4619" width="12.33203125" style="187" customWidth="1"/>
    <col min="4620" max="4620" width="14.33203125" style="187" customWidth="1"/>
    <col min="4621" max="4621" width="15.1640625" style="187" customWidth="1"/>
    <col min="4622" max="4864" width="9.33203125" style="187"/>
    <col min="4865" max="4865" width="5.83203125" style="187" customWidth="1"/>
    <col min="4866" max="4866" width="22.33203125" style="187" customWidth="1"/>
    <col min="4867" max="4867" width="13" style="187" customWidth="1"/>
    <col min="4868" max="4868" width="11" style="187" customWidth="1"/>
    <col min="4869" max="4869" width="15.5" style="187" customWidth="1"/>
    <col min="4870" max="4870" width="11.1640625" style="187" customWidth="1"/>
    <col min="4871" max="4871" width="13.33203125" style="187" customWidth="1"/>
    <col min="4872" max="4873" width="14" style="187" customWidth="1"/>
    <col min="4874" max="4874" width="13.33203125" style="187" customWidth="1"/>
    <col min="4875" max="4875" width="12.33203125" style="187" customWidth="1"/>
    <col min="4876" max="4876" width="14.33203125" style="187" customWidth="1"/>
    <col min="4877" max="4877" width="15.1640625" style="187" customWidth="1"/>
    <col min="4878" max="5120" width="9.33203125" style="187"/>
    <col min="5121" max="5121" width="5.83203125" style="187" customWidth="1"/>
    <col min="5122" max="5122" width="22.33203125" style="187" customWidth="1"/>
    <col min="5123" max="5123" width="13" style="187" customWidth="1"/>
    <col min="5124" max="5124" width="11" style="187" customWidth="1"/>
    <col min="5125" max="5125" width="15.5" style="187" customWidth="1"/>
    <col min="5126" max="5126" width="11.1640625" style="187" customWidth="1"/>
    <col min="5127" max="5127" width="13.33203125" style="187" customWidth="1"/>
    <col min="5128" max="5129" width="14" style="187" customWidth="1"/>
    <col min="5130" max="5130" width="13.33203125" style="187" customWidth="1"/>
    <col min="5131" max="5131" width="12.33203125" style="187" customWidth="1"/>
    <col min="5132" max="5132" width="14.33203125" style="187" customWidth="1"/>
    <col min="5133" max="5133" width="15.1640625" style="187" customWidth="1"/>
    <col min="5134" max="5376" width="9.33203125" style="187"/>
    <col min="5377" max="5377" width="5.83203125" style="187" customWidth="1"/>
    <col min="5378" max="5378" width="22.33203125" style="187" customWidth="1"/>
    <col min="5379" max="5379" width="13" style="187" customWidth="1"/>
    <col min="5380" max="5380" width="11" style="187" customWidth="1"/>
    <col min="5381" max="5381" width="15.5" style="187" customWidth="1"/>
    <col min="5382" max="5382" width="11.1640625" style="187" customWidth="1"/>
    <col min="5383" max="5383" width="13.33203125" style="187" customWidth="1"/>
    <col min="5384" max="5385" width="14" style="187" customWidth="1"/>
    <col min="5386" max="5386" width="13.33203125" style="187" customWidth="1"/>
    <col min="5387" max="5387" width="12.33203125" style="187" customWidth="1"/>
    <col min="5388" max="5388" width="14.33203125" style="187" customWidth="1"/>
    <col min="5389" max="5389" width="15.1640625" style="187" customWidth="1"/>
    <col min="5390" max="5632" width="9.33203125" style="187"/>
    <col min="5633" max="5633" width="5.83203125" style="187" customWidth="1"/>
    <col min="5634" max="5634" width="22.33203125" style="187" customWidth="1"/>
    <col min="5635" max="5635" width="13" style="187" customWidth="1"/>
    <col min="5636" max="5636" width="11" style="187" customWidth="1"/>
    <col min="5637" max="5637" width="15.5" style="187" customWidth="1"/>
    <col min="5638" max="5638" width="11.1640625" style="187" customWidth="1"/>
    <col min="5639" max="5639" width="13.33203125" style="187" customWidth="1"/>
    <col min="5640" max="5641" width="14" style="187" customWidth="1"/>
    <col min="5642" max="5642" width="13.33203125" style="187" customWidth="1"/>
    <col min="5643" max="5643" width="12.33203125" style="187" customWidth="1"/>
    <col min="5644" max="5644" width="14.33203125" style="187" customWidth="1"/>
    <col min="5645" max="5645" width="15.1640625" style="187" customWidth="1"/>
    <col min="5646" max="5888" width="9.33203125" style="187"/>
    <col min="5889" max="5889" width="5.83203125" style="187" customWidth="1"/>
    <col min="5890" max="5890" width="22.33203125" style="187" customWidth="1"/>
    <col min="5891" max="5891" width="13" style="187" customWidth="1"/>
    <col min="5892" max="5892" width="11" style="187" customWidth="1"/>
    <col min="5893" max="5893" width="15.5" style="187" customWidth="1"/>
    <col min="5894" max="5894" width="11.1640625" style="187" customWidth="1"/>
    <col min="5895" max="5895" width="13.33203125" style="187" customWidth="1"/>
    <col min="5896" max="5897" width="14" style="187" customWidth="1"/>
    <col min="5898" max="5898" width="13.33203125" style="187" customWidth="1"/>
    <col min="5899" max="5899" width="12.33203125" style="187" customWidth="1"/>
    <col min="5900" max="5900" width="14.33203125" style="187" customWidth="1"/>
    <col min="5901" max="5901" width="15.1640625" style="187" customWidth="1"/>
    <col min="5902" max="6144" width="9.33203125" style="187"/>
    <col min="6145" max="6145" width="5.83203125" style="187" customWidth="1"/>
    <col min="6146" max="6146" width="22.33203125" style="187" customWidth="1"/>
    <col min="6147" max="6147" width="13" style="187" customWidth="1"/>
    <col min="6148" max="6148" width="11" style="187" customWidth="1"/>
    <col min="6149" max="6149" width="15.5" style="187" customWidth="1"/>
    <col min="6150" max="6150" width="11.1640625" style="187" customWidth="1"/>
    <col min="6151" max="6151" width="13.33203125" style="187" customWidth="1"/>
    <col min="6152" max="6153" width="14" style="187" customWidth="1"/>
    <col min="6154" max="6154" width="13.33203125" style="187" customWidth="1"/>
    <col min="6155" max="6155" width="12.33203125" style="187" customWidth="1"/>
    <col min="6156" max="6156" width="14.33203125" style="187" customWidth="1"/>
    <col min="6157" max="6157" width="15.1640625" style="187" customWidth="1"/>
    <col min="6158" max="6400" width="9.33203125" style="187"/>
    <col min="6401" max="6401" width="5.83203125" style="187" customWidth="1"/>
    <col min="6402" max="6402" width="22.33203125" style="187" customWidth="1"/>
    <col min="6403" max="6403" width="13" style="187" customWidth="1"/>
    <col min="6404" max="6404" width="11" style="187" customWidth="1"/>
    <col min="6405" max="6405" width="15.5" style="187" customWidth="1"/>
    <col min="6406" max="6406" width="11.1640625" style="187" customWidth="1"/>
    <col min="6407" max="6407" width="13.33203125" style="187" customWidth="1"/>
    <col min="6408" max="6409" width="14" style="187" customWidth="1"/>
    <col min="6410" max="6410" width="13.33203125" style="187" customWidth="1"/>
    <col min="6411" max="6411" width="12.33203125" style="187" customWidth="1"/>
    <col min="6412" max="6412" width="14.33203125" style="187" customWidth="1"/>
    <col min="6413" max="6413" width="15.1640625" style="187" customWidth="1"/>
    <col min="6414" max="6656" width="9.33203125" style="187"/>
    <col min="6657" max="6657" width="5.83203125" style="187" customWidth="1"/>
    <col min="6658" max="6658" width="22.33203125" style="187" customWidth="1"/>
    <col min="6659" max="6659" width="13" style="187" customWidth="1"/>
    <col min="6660" max="6660" width="11" style="187" customWidth="1"/>
    <col min="6661" max="6661" width="15.5" style="187" customWidth="1"/>
    <col min="6662" max="6662" width="11.1640625" style="187" customWidth="1"/>
    <col min="6663" max="6663" width="13.33203125" style="187" customWidth="1"/>
    <col min="6664" max="6665" width="14" style="187" customWidth="1"/>
    <col min="6666" max="6666" width="13.33203125" style="187" customWidth="1"/>
    <col min="6667" max="6667" width="12.33203125" style="187" customWidth="1"/>
    <col min="6668" max="6668" width="14.33203125" style="187" customWidth="1"/>
    <col min="6669" max="6669" width="15.1640625" style="187" customWidth="1"/>
    <col min="6670" max="6912" width="9.33203125" style="187"/>
    <col min="6913" max="6913" width="5.83203125" style="187" customWidth="1"/>
    <col min="6914" max="6914" width="22.33203125" style="187" customWidth="1"/>
    <col min="6915" max="6915" width="13" style="187" customWidth="1"/>
    <col min="6916" max="6916" width="11" style="187" customWidth="1"/>
    <col min="6917" max="6917" width="15.5" style="187" customWidth="1"/>
    <col min="6918" max="6918" width="11.1640625" style="187" customWidth="1"/>
    <col min="6919" max="6919" width="13.33203125" style="187" customWidth="1"/>
    <col min="6920" max="6921" width="14" style="187" customWidth="1"/>
    <col min="6922" max="6922" width="13.33203125" style="187" customWidth="1"/>
    <col min="6923" max="6923" width="12.33203125" style="187" customWidth="1"/>
    <col min="6924" max="6924" width="14.33203125" style="187" customWidth="1"/>
    <col min="6925" max="6925" width="15.1640625" style="187" customWidth="1"/>
    <col min="6926" max="7168" width="9.33203125" style="187"/>
    <col min="7169" max="7169" width="5.83203125" style="187" customWidth="1"/>
    <col min="7170" max="7170" width="22.33203125" style="187" customWidth="1"/>
    <col min="7171" max="7171" width="13" style="187" customWidth="1"/>
    <col min="7172" max="7172" width="11" style="187" customWidth="1"/>
    <col min="7173" max="7173" width="15.5" style="187" customWidth="1"/>
    <col min="7174" max="7174" width="11.1640625" style="187" customWidth="1"/>
    <col min="7175" max="7175" width="13.33203125" style="187" customWidth="1"/>
    <col min="7176" max="7177" width="14" style="187" customWidth="1"/>
    <col min="7178" max="7178" width="13.33203125" style="187" customWidth="1"/>
    <col min="7179" max="7179" width="12.33203125" style="187" customWidth="1"/>
    <col min="7180" max="7180" width="14.33203125" style="187" customWidth="1"/>
    <col min="7181" max="7181" width="15.1640625" style="187" customWidth="1"/>
    <col min="7182" max="7424" width="9.33203125" style="187"/>
    <col min="7425" max="7425" width="5.83203125" style="187" customWidth="1"/>
    <col min="7426" max="7426" width="22.33203125" style="187" customWidth="1"/>
    <col min="7427" max="7427" width="13" style="187" customWidth="1"/>
    <col min="7428" max="7428" width="11" style="187" customWidth="1"/>
    <col min="7429" max="7429" width="15.5" style="187" customWidth="1"/>
    <col min="7430" max="7430" width="11.1640625" style="187" customWidth="1"/>
    <col min="7431" max="7431" width="13.33203125" style="187" customWidth="1"/>
    <col min="7432" max="7433" width="14" style="187" customWidth="1"/>
    <col min="7434" max="7434" width="13.33203125" style="187" customWidth="1"/>
    <col min="7435" max="7435" width="12.33203125" style="187" customWidth="1"/>
    <col min="7436" max="7436" width="14.33203125" style="187" customWidth="1"/>
    <col min="7437" max="7437" width="15.1640625" style="187" customWidth="1"/>
    <col min="7438" max="7680" width="9.33203125" style="187"/>
    <col min="7681" max="7681" width="5.83203125" style="187" customWidth="1"/>
    <col min="7682" max="7682" width="22.33203125" style="187" customWidth="1"/>
    <col min="7683" max="7683" width="13" style="187" customWidth="1"/>
    <col min="7684" max="7684" width="11" style="187" customWidth="1"/>
    <col min="7685" max="7685" width="15.5" style="187" customWidth="1"/>
    <col min="7686" max="7686" width="11.1640625" style="187" customWidth="1"/>
    <col min="7687" max="7687" width="13.33203125" style="187" customWidth="1"/>
    <col min="7688" max="7689" width="14" style="187" customWidth="1"/>
    <col min="7690" max="7690" width="13.33203125" style="187" customWidth="1"/>
    <col min="7691" max="7691" width="12.33203125" style="187" customWidth="1"/>
    <col min="7692" max="7692" width="14.33203125" style="187" customWidth="1"/>
    <col min="7693" max="7693" width="15.1640625" style="187" customWidth="1"/>
    <col min="7694" max="7936" width="9.33203125" style="187"/>
    <col min="7937" max="7937" width="5.83203125" style="187" customWidth="1"/>
    <col min="7938" max="7938" width="22.33203125" style="187" customWidth="1"/>
    <col min="7939" max="7939" width="13" style="187" customWidth="1"/>
    <col min="7940" max="7940" width="11" style="187" customWidth="1"/>
    <col min="7941" max="7941" width="15.5" style="187" customWidth="1"/>
    <col min="7942" max="7942" width="11.1640625" style="187" customWidth="1"/>
    <col min="7943" max="7943" width="13.33203125" style="187" customWidth="1"/>
    <col min="7944" max="7945" width="14" style="187" customWidth="1"/>
    <col min="7946" max="7946" width="13.33203125" style="187" customWidth="1"/>
    <col min="7947" max="7947" width="12.33203125" style="187" customWidth="1"/>
    <col min="7948" max="7948" width="14.33203125" style="187" customWidth="1"/>
    <col min="7949" max="7949" width="15.1640625" style="187" customWidth="1"/>
    <col min="7950" max="8192" width="9.33203125" style="187"/>
    <col min="8193" max="8193" width="5.83203125" style="187" customWidth="1"/>
    <col min="8194" max="8194" width="22.33203125" style="187" customWidth="1"/>
    <col min="8195" max="8195" width="13" style="187" customWidth="1"/>
    <col min="8196" max="8196" width="11" style="187" customWidth="1"/>
    <col min="8197" max="8197" width="15.5" style="187" customWidth="1"/>
    <col min="8198" max="8198" width="11.1640625" style="187" customWidth="1"/>
    <col min="8199" max="8199" width="13.33203125" style="187" customWidth="1"/>
    <col min="8200" max="8201" width="14" style="187" customWidth="1"/>
    <col min="8202" max="8202" width="13.33203125" style="187" customWidth="1"/>
    <col min="8203" max="8203" width="12.33203125" style="187" customWidth="1"/>
    <col min="8204" max="8204" width="14.33203125" style="187" customWidth="1"/>
    <col min="8205" max="8205" width="15.1640625" style="187" customWidth="1"/>
    <col min="8206" max="8448" width="9.33203125" style="187"/>
    <col min="8449" max="8449" width="5.83203125" style="187" customWidth="1"/>
    <col min="8450" max="8450" width="22.33203125" style="187" customWidth="1"/>
    <col min="8451" max="8451" width="13" style="187" customWidth="1"/>
    <col min="8452" max="8452" width="11" style="187" customWidth="1"/>
    <col min="8453" max="8453" width="15.5" style="187" customWidth="1"/>
    <col min="8454" max="8454" width="11.1640625" style="187" customWidth="1"/>
    <col min="8455" max="8455" width="13.33203125" style="187" customWidth="1"/>
    <col min="8456" max="8457" width="14" style="187" customWidth="1"/>
    <col min="8458" max="8458" width="13.33203125" style="187" customWidth="1"/>
    <col min="8459" max="8459" width="12.33203125" style="187" customWidth="1"/>
    <col min="8460" max="8460" width="14.33203125" style="187" customWidth="1"/>
    <col min="8461" max="8461" width="15.1640625" style="187" customWidth="1"/>
    <col min="8462" max="8704" width="9.33203125" style="187"/>
    <col min="8705" max="8705" width="5.83203125" style="187" customWidth="1"/>
    <col min="8706" max="8706" width="22.33203125" style="187" customWidth="1"/>
    <col min="8707" max="8707" width="13" style="187" customWidth="1"/>
    <col min="8708" max="8708" width="11" style="187" customWidth="1"/>
    <col min="8709" max="8709" width="15.5" style="187" customWidth="1"/>
    <col min="8710" max="8710" width="11.1640625" style="187" customWidth="1"/>
    <col min="8711" max="8711" width="13.33203125" style="187" customWidth="1"/>
    <col min="8712" max="8713" width="14" style="187" customWidth="1"/>
    <col min="8714" max="8714" width="13.33203125" style="187" customWidth="1"/>
    <col min="8715" max="8715" width="12.33203125" style="187" customWidth="1"/>
    <col min="8716" max="8716" width="14.33203125" style="187" customWidth="1"/>
    <col min="8717" max="8717" width="15.1640625" style="187" customWidth="1"/>
    <col min="8718" max="8960" width="9.33203125" style="187"/>
    <col min="8961" max="8961" width="5.83203125" style="187" customWidth="1"/>
    <col min="8962" max="8962" width="22.33203125" style="187" customWidth="1"/>
    <col min="8963" max="8963" width="13" style="187" customWidth="1"/>
    <col min="8964" max="8964" width="11" style="187" customWidth="1"/>
    <col min="8965" max="8965" width="15.5" style="187" customWidth="1"/>
    <col min="8966" max="8966" width="11.1640625" style="187" customWidth="1"/>
    <col min="8967" max="8967" width="13.33203125" style="187" customWidth="1"/>
    <col min="8968" max="8969" width="14" style="187" customWidth="1"/>
    <col min="8970" max="8970" width="13.33203125" style="187" customWidth="1"/>
    <col min="8971" max="8971" width="12.33203125" style="187" customWidth="1"/>
    <col min="8972" max="8972" width="14.33203125" style="187" customWidth="1"/>
    <col min="8973" max="8973" width="15.1640625" style="187" customWidth="1"/>
    <col min="8974" max="9216" width="9.33203125" style="187"/>
    <col min="9217" max="9217" width="5.83203125" style="187" customWidth="1"/>
    <col min="9218" max="9218" width="22.33203125" style="187" customWidth="1"/>
    <col min="9219" max="9219" width="13" style="187" customWidth="1"/>
    <col min="9220" max="9220" width="11" style="187" customWidth="1"/>
    <col min="9221" max="9221" width="15.5" style="187" customWidth="1"/>
    <col min="9222" max="9222" width="11.1640625" style="187" customWidth="1"/>
    <col min="9223" max="9223" width="13.33203125" style="187" customWidth="1"/>
    <col min="9224" max="9225" width="14" style="187" customWidth="1"/>
    <col min="9226" max="9226" width="13.33203125" style="187" customWidth="1"/>
    <col min="9227" max="9227" width="12.33203125" style="187" customWidth="1"/>
    <col min="9228" max="9228" width="14.33203125" style="187" customWidth="1"/>
    <col min="9229" max="9229" width="15.1640625" style="187" customWidth="1"/>
    <col min="9230" max="9472" width="9.33203125" style="187"/>
    <col min="9473" max="9473" width="5.83203125" style="187" customWidth="1"/>
    <col min="9474" max="9474" width="22.33203125" style="187" customWidth="1"/>
    <col min="9475" max="9475" width="13" style="187" customWidth="1"/>
    <col min="9476" max="9476" width="11" style="187" customWidth="1"/>
    <col min="9477" max="9477" width="15.5" style="187" customWidth="1"/>
    <col min="9478" max="9478" width="11.1640625" style="187" customWidth="1"/>
    <col min="9479" max="9479" width="13.33203125" style="187" customWidth="1"/>
    <col min="9480" max="9481" width="14" style="187" customWidth="1"/>
    <col min="9482" max="9482" width="13.33203125" style="187" customWidth="1"/>
    <col min="9483" max="9483" width="12.33203125" style="187" customWidth="1"/>
    <col min="9484" max="9484" width="14.33203125" style="187" customWidth="1"/>
    <col min="9485" max="9485" width="15.1640625" style="187" customWidth="1"/>
    <col min="9486" max="9728" width="9.33203125" style="187"/>
    <col min="9729" max="9729" width="5.83203125" style="187" customWidth="1"/>
    <col min="9730" max="9730" width="22.33203125" style="187" customWidth="1"/>
    <col min="9731" max="9731" width="13" style="187" customWidth="1"/>
    <col min="9732" max="9732" width="11" style="187" customWidth="1"/>
    <col min="9733" max="9733" width="15.5" style="187" customWidth="1"/>
    <col min="9734" max="9734" width="11.1640625" style="187" customWidth="1"/>
    <col min="9735" max="9735" width="13.33203125" style="187" customWidth="1"/>
    <col min="9736" max="9737" width="14" style="187" customWidth="1"/>
    <col min="9738" max="9738" width="13.33203125" style="187" customWidth="1"/>
    <col min="9739" max="9739" width="12.33203125" style="187" customWidth="1"/>
    <col min="9740" max="9740" width="14.33203125" style="187" customWidth="1"/>
    <col min="9741" max="9741" width="15.1640625" style="187" customWidth="1"/>
    <col min="9742" max="9984" width="9.33203125" style="187"/>
    <col min="9985" max="9985" width="5.83203125" style="187" customWidth="1"/>
    <col min="9986" max="9986" width="22.33203125" style="187" customWidth="1"/>
    <col min="9987" max="9987" width="13" style="187" customWidth="1"/>
    <col min="9988" max="9988" width="11" style="187" customWidth="1"/>
    <col min="9989" max="9989" width="15.5" style="187" customWidth="1"/>
    <col min="9990" max="9990" width="11.1640625" style="187" customWidth="1"/>
    <col min="9991" max="9991" width="13.33203125" style="187" customWidth="1"/>
    <col min="9992" max="9993" width="14" style="187" customWidth="1"/>
    <col min="9994" max="9994" width="13.33203125" style="187" customWidth="1"/>
    <col min="9995" max="9995" width="12.33203125" style="187" customWidth="1"/>
    <col min="9996" max="9996" width="14.33203125" style="187" customWidth="1"/>
    <col min="9997" max="9997" width="15.1640625" style="187" customWidth="1"/>
    <col min="9998" max="10240" width="9.33203125" style="187"/>
    <col min="10241" max="10241" width="5.83203125" style="187" customWidth="1"/>
    <col min="10242" max="10242" width="22.33203125" style="187" customWidth="1"/>
    <col min="10243" max="10243" width="13" style="187" customWidth="1"/>
    <col min="10244" max="10244" width="11" style="187" customWidth="1"/>
    <col min="10245" max="10245" width="15.5" style="187" customWidth="1"/>
    <col min="10246" max="10246" width="11.1640625" style="187" customWidth="1"/>
    <col min="10247" max="10247" width="13.33203125" style="187" customWidth="1"/>
    <col min="10248" max="10249" width="14" style="187" customWidth="1"/>
    <col min="10250" max="10250" width="13.33203125" style="187" customWidth="1"/>
    <col min="10251" max="10251" width="12.33203125" style="187" customWidth="1"/>
    <col min="10252" max="10252" width="14.33203125" style="187" customWidth="1"/>
    <col min="10253" max="10253" width="15.1640625" style="187" customWidth="1"/>
    <col min="10254" max="10496" width="9.33203125" style="187"/>
    <col min="10497" max="10497" width="5.83203125" style="187" customWidth="1"/>
    <col min="10498" max="10498" width="22.33203125" style="187" customWidth="1"/>
    <col min="10499" max="10499" width="13" style="187" customWidth="1"/>
    <col min="10500" max="10500" width="11" style="187" customWidth="1"/>
    <col min="10501" max="10501" width="15.5" style="187" customWidth="1"/>
    <col min="10502" max="10502" width="11.1640625" style="187" customWidth="1"/>
    <col min="10503" max="10503" width="13.33203125" style="187" customWidth="1"/>
    <col min="10504" max="10505" width="14" style="187" customWidth="1"/>
    <col min="10506" max="10506" width="13.33203125" style="187" customWidth="1"/>
    <col min="10507" max="10507" width="12.33203125" style="187" customWidth="1"/>
    <col min="10508" max="10508" width="14.33203125" style="187" customWidth="1"/>
    <col min="10509" max="10509" width="15.1640625" style="187" customWidth="1"/>
    <col min="10510" max="10752" width="9.33203125" style="187"/>
    <col min="10753" max="10753" width="5.83203125" style="187" customWidth="1"/>
    <col min="10754" max="10754" width="22.33203125" style="187" customWidth="1"/>
    <col min="10755" max="10755" width="13" style="187" customWidth="1"/>
    <col min="10756" max="10756" width="11" style="187" customWidth="1"/>
    <col min="10757" max="10757" width="15.5" style="187" customWidth="1"/>
    <col min="10758" max="10758" width="11.1640625" style="187" customWidth="1"/>
    <col min="10759" max="10759" width="13.33203125" style="187" customWidth="1"/>
    <col min="10760" max="10761" width="14" style="187" customWidth="1"/>
    <col min="10762" max="10762" width="13.33203125" style="187" customWidth="1"/>
    <col min="10763" max="10763" width="12.33203125" style="187" customWidth="1"/>
    <col min="10764" max="10764" width="14.33203125" style="187" customWidth="1"/>
    <col min="10765" max="10765" width="15.1640625" style="187" customWidth="1"/>
    <col min="10766" max="11008" width="9.33203125" style="187"/>
    <col min="11009" max="11009" width="5.83203125" style="187" customWidth="1"/>
    <col min="11010" max="11010" width="22.33203125" style="187" customWidth="1"/>
    <col min="11011" max="11011" width="13" style="187" customWidth="1"/>
    <col min="11012" max="11012" width="11" style="187" customWidth="1"/>
    <col min="11013" max="11013" width="15.5" style="187" customWidth="1"/>
    <col min="11014" max="11014" width="11.1640625" style="187" customWidth="1"/>
    <col min="11015" max="11015" width="13.33203125" style="187" customWidth="1"/>
    <col min="11016" max="11017" width="14" style="187" customWidth="1"/>
    <col min="11018" max="11018" width="13.33203125" style="187" customWidth="1"/>
    <col min="11019" max="11019" width="12.33203125" style="187" customWidth="1"/>
    <col min="11020" max="11020" width="14.33203125" style="187" customWidth="1"/>
    <col min="11021" max="11021" width="15.1640625" style="187" customWidth="1"/>
    <col min="11022" max="11264" width="9.33203125" style="187"/>
    <col min="11265" max="11265" width="5.83203125" style="187" customWidth="1"/>
    <col min="11266" max="11266" width="22.33203125" style="187" customWidth="1"/>
    <col min="11267" max="11267" width="13" style="187" customWidth="1"/>
    <col min="11268" max="11268" width="11" style="187" customWidth="1"/>
    <col min="11269" max="11269" width="15.5" style="187" customWidth="1"/>
    <col min="11270" max="11270" width="11.1640625" style="187" customWidth="1"/>
    <col min="11271" max="11271" width="13.33203125" style="187" customWidth="1"/>
    <col min="11272" max="11273" width="14" style="187" customWidth="1"/>
    <col min="11274" max="11274" width="13.33203125" style="187" customWidth="1"/>
    <col min="11275" max="11275" width="12.33203125" style="187" customWidth="1"/>
    <col min="11276" max="11276" width="14.33203125" style="187" customWidth="1"/>
    <col min="11277" max="11277" width="15.1640625" style="187" customWidth="1"/>
    <col min="11278" max="11520" width="9.33203125" style="187"/>
    <col min="11521" max="11521" width="5.83203125" style="187" customWidth="1"/>
    <col min="11522" max="11522" width="22.33203125" style="187" customWidth="1"/>
    <col min="11523" max="11523" width="13" style="187" customWidth="1"/>
    <col min="11524" max="11524" width="11" style="187" customWidth="1"/>
    <col min="11525" max="11525" width="15.5" style="187" customWidth="1"/>
    <col min="11526" max="11526" width="11.1640625" style="187" customWidth="1"/>
    <col min="11527" max="11527" width="13.33203125" style="187" customWidth="1"/>
    <col min="11528" max="11529" width="14" style="187" customWidth="1"/>
    <col min="11530" max="11530" width="13.33203125" style="187" customWidth="1"/>
    <col min="11531" max="11531" width="12.33203125" style="187" customWidth="1"/>
    <col min="11532" max="11532" width="14.33203125" style="187" customWidth="1"/>
    <col min="11533" max="11533" width="15.1640625" style="187" customWidth="1"/>
    <col min="11534" max="11776" width="9.33203125" style="187"/>
    <col min="11777" max="11777" width="5.83203125" style="187" customWidth="1"/>
    <col min="11778" max="11778" width="22.33203125" style="187" customWidth="1"/>
    <col min="11779" max="11779" width="13" style="187" customWidth="1"/>
    <col min="11780" max="11780" width="11" style="187" customWidth="1"/>
    <col min="11781" max="11781" width="15.5" style="187" customWidth="1"/>
    <col min="11782" max="11782" width="11.1640625" style="187" customWidth="1"/>
    <col min="11783" max="11783" width="13.33203125" style="187" customWidth="1"/>
    <col min="11784" max="11785" width="14" style="187" customWidth="1"/>
    <col min="11786" max="11786" width="13.33203125" style="187" customWidth="1"/>
    <col min="11787" max="11787" width="12.33203125" style="187" customWidth="1"/>
    <col min="11788" max="11788" width="14.33203125" style="187" customWidth="1"/>
    <col min="11789" max="11789" width="15.1640625" style="187" customWidth="1"/>
    <col min="11790" max="12032" width="9.33203125" style="187"/>
    <col min="12033" max="12033" width="5.83203125" style="187" customWidth="1"/>
    <col min="12034" max="12034" width="22.33203125" style="187" customWidth="1"/>
    <col min="12035" max="12035" width="13" style="187" customWidth="1"/>
    <col min="12036" max="12036" width="11" style="187" customWidth="1"/>
    <col min="12037" max="12037" width="15.5" style="187" customWidth="1"/>
    <col min="12038" max="12038" width="11.1640625" style="187" customWidth="1"/>
    <col min="12039" max="12039" width="13.33203125" style="187" customWidth="1"/>
    <col min="12040" max="12041" width="14" style="187" customWidth="1"/>
    <col min="12042" max="12042" width="13.33203125" style="187" customWidth="1"/>
    <col min="12043" max="12043" width="12.33203125" style="187" customWidth="1"/>
    <col min="12044" max="12044" width="14.33203125" style="187" customWidth="1"/>
    <col min="12045" max="12045" width="15.1640625" style="187" customWidth="1"/>
    <col min="12046" max="12288" width="9.33203125" style="187"/>
    <col min="12289" max="12289" width="5.83203125" style="187" customWidth="1"/>
    <col min="12290" max="12290" width="22.33203125" style="187" customWidth="1"/>
    <col min="12291" max="12291" width="13" style="187" customWidth="1"/>
    <col min="12292" max="12292" width="11" style="187" customWidth="1"/>
    <col min="12293" max="12293" width="15.5" style="187" customWidth="1"/>
    <col min="12294" max="12294" width="11.1640625" style="187" customWidth="1"/>
    <col min="12295" max="12295" width="13.33203125" style="187" customWidth="1"/>
    <col min="12296" max="12297" width="14" style="187" customWidth="1"/>
    <col min="12298" max="12298" width="13.33203125" style="187" customWidth="1"/>
    <col min="12299" max="12299" width="12.33203125" style="187" customWidth="1"/>
    <col min="12300" max="12300" width="14.33203125" style="187" customWidth="1"/>
    <col min="12301" max="12301" width="15.1640625" style="187" customWidth="1"/>
    <col min="12302" max="12544" width="9.33203125" style="187"/>
    <col min="12545" max="12545" width="5.83203125" style="187" customWidth="1"/>
    <col min="12546" max="12546" width="22.33203125" style="187" customWidth="1"/>
    <col min="12547" max="12547" width="13" style="187" customWidth="1"/>
    <col min="12548" max="12548" width="11" style="187" customWidth="1"/>
    <col min="12549" max="12549" width="15.5" style="187" customWidth="1"/>
    <col min="12550" max="12550" width="11.1640625" style="187" customWidth="1"/>
    <col min="12551" max="12551" width="13.33203125" style="187" customWidth="1"/>
    <col min="12552" max="12553" width="14" style="187" customWidth="1"/>
    <col min="12554" max="12554" width="13.33203125" style="187" customWidth="1"/>
    <col min="12555" max="12555" width="12.33203125" style="187" customWidth="1"/>
    <col min="12556" max="12556" width="14.33203125" style="187" customWidth="1"/>
    <col min="12557" max="12557" width="15.1640625" style="187" customWidth="1"/>
    <col min="12558" max="12800" width="9.33203125" style="187"/>
    <col min="12801" max="12801" width="5.83203125" style="187" customWidth="1"/>
    <col min="12802" max="12802" width="22.33203125" style="187" customWidth="1"/>
    <col min="12803" max="12803" width="13" style="187" customWidth="1"/>
    <col min="12804" max="12804" width="11" style="187" customWidth="1"/>
    <col min="12805" max="12805" width="15.5" style="187" customWidth="1"/>
    <col min="12806" max="12806" width="11.1640625" style="187" customWidth="1"/>
    <col min="12807" max="12807" width="13.33203125" style="187" customWidth="1"/>
    <col min="12808" max="12809" width="14" style="187" customWidth="1"/>
    <col min="12810" max="12810" width="13.33203125" style="187" customWidth="1"/>
    <col min="12811" max="12811" width="12.33203125" style="187" customWidth="1"/>
    <col min="12812" max="12812" width="14.33203125" style="187" customWidth="1"/>
    <col min="12813" max="12813" width="15.1640625" style="187" customWidth="1"/>
    <col min="12814" max="13056" width="9.33203125" style="187"/>
    <col min="13057" max="13057" width="5.83203125" style="187" customWidth="1"/>
    <col min="13058" max="13058" width="22.33203125" style="187" customWidth="1"/>
    <col min="13059" max="13059" width="13" style="187" customWidth="1"/>
    <col min="13060" max="13060" width="11" style="187" customWidth="1"/>
    <col min="13061" max="13061" width="15.5" style="187" customWidth="1"/>
    <col min="13062" max="13062" width="11.1640625" style="187" customWidth="1"/>
    <col min="13063" max="13063" width="13.33203125" style="187" customWidth="1"/>
    <col min="13064" max="13065" width="14" style="187" customWidth="1"/>
    <col min="13066" max="13066" width="13.33203125" style="187" customWidth="1"/>
    <col min="13067" max="13067" width="12.33203125" style="187" customWidth="1"/>
    <col min="13068" max="13068" width="14.33203125" style="187" customWidth="1"/>
    <col min="13069" max="13069" width="15.1640625" style="187" customWidth="1"/>
    <col min="13070" max="13312" width="9.33203125" style="187"/>
    <col min="13313" max="13313" width="5.83203125" style="187" customWidth="1"/>
    <col min="13314" max="13314" width="22.33203125" style="187" customWidth="1"/>
    <col min="13315" max="13315" width="13" style="187" customWidth="1"/>
    <col min="13316" max="13316" width="11" style="187" customWidth="1"/>
    <col min="13317" max="13317" width="15.5" style="187" customWidth="1"/>
    <col min="13318" max="13318" width="11.1640625" style="187" customWidth="1"/>
    <col min="13319" max="13319" width="13.33203125" style="187" customWidth="1"/>
    <col min="13320" max="13321" width="14" style="187" customWidth="1"/>
    <col min="13322" max="13322" width="13.33203125" style="187" customWidth="1"/>
    <col min="13323" max="13323" width="12.33203125" style="187" customWidth="1"/>
    <col min="13324" max="13324" width="14.33203125" style="187" customWidth="1"/>
    <col min="13325" max="13325" width="15.1640625" style="187" customWidth="1"/>
    <col min="13326" max="13568" width="9.33203125" style="187"/>
    <col min="13569" max="13569" width="5.83203125" style="187" customWidth="1"/>
    <col min="13570" max="13570" width="22.33203125" style="187" customWidth="1"/>
    <col min="13571" max="13571" width="13" style="187" customWidth="1"/>
    <col min="13572" max="13572" width="11" style="187" customWidth="1"/>
    <col min="13573" max="13573" width="15.5" style="187" customWidth="1"/>
    <col min="13574" max="13574" width="11.1640625" style="187" customWidth="1"/>
    <col min="13575" max="13575" width="13.33203125" style="187" customWidth="1"/>
    <col min="13576" max="13577" width="14" style="187" customWidth="1"/>
    <col min="13578" max="13578" width="13.33203125" style="187" customWidth="1"/>
    <col min="13579" max="13579" width="12.33203125" style="187" customWidth="1"/>
    <col min="13580" max="13580" width="14.33203125" style="187" customWidth="1"/>
    <col min="13581" max="13581" width="15.1640625" style="187" customWidth="1"/>
    <col min="13582" max="13824" width="9.33203125" style="187"/>
    <col min="13825" max="13825" width="5.83203125" style="187" customWidth="1"/>
    <col min="13826" max="13826" width="22.33203125" style="187" customWidth="1"/>
    <col min="13827" max="13827" width="13" style="187" customWidth="1"/>
    <col min="13828" max="13828" width="11" style="187" customWidth="1"/>
    <col min="13829" max="13829" width="15.5" style="187" customWidth="1"/>
    <col min="13830" max="13830" width="11.1640625" style="187" customWidth="1"/>
    <col min="13831" max="13831" width="13.33203125" style="187" customWidth="1"/>
    <col min="13832" max="13833" width="14" style="187" customWidth="1"/>
    <col min="13834" max="13834" width="13.33203125" style="187" customWidth="1"/>
    <col min="13835" max="13835" width="12.33203125" style="187" customWidth="1"/>
    <col min="13836" max="13836" width="14.33203125" style="187" customWidth="1"/>
    <col min="13837" max="13837" width="15.1640625" style="187" customWidth="1"/>
    <col min="13838" max="14080" width="9.33203125" style="187"/>
    <col min="14081" max="14081" width="5.83203125" style="187" customWidth="1"/>
    <col min="14082" max="14082" width="22.33203125" style="187" customWidth="1"/>
    <col min="14083" max="14083" width="13" style="187" customWidth="1"/>
    <col min="14084" max="14084" width="11" style="187" customWidth="1"/>
    <col min="14085" max="14085" width="15.5" style="187" customWidth="1"/>
    <col min="14086" max="14086" width="11.1640625" style="187" customWidth="1"/>
    <col min="14087" max="14087" width="13.33203125" style="187" customWidth="1"/>
    <col min="14088" max="14089" width="14" style="187" customWidth="1"/>
    <col min="14090" max="14090" width="13.33203125" style="187" customWidth="1"/>
    <col min="14091" max="14091" width="12.33203125" style="187" customWidth="1"/>
    <col min="14092" max="14092" width="14.33203125" style="187" customWidth="1"/>
    <col min="14093" max="14093" width="15.1640625" style="187" customWidth="1"/>
    <col min="14094" max="14336" width="9.33203125" style="187"/>
    <col min="14337" max="14337" width="5.83203125" style="187" customWidth="1"/>
    <col min="14338" max="14338" width="22.33203125" style="187" customWidth="1"/>
    <col min="14339" max="14339" width="13" style="187" customWidth="1"/>
    <col min="14340" max="14340" width="11" style="187" customWidth="1"/>
    <col min="14341" max="14341" width="15.5" style="187" customWidth="1"/>
    <col min="14342" max="14342" width="11.1640625" style="187" customWidth="1"/>
    <col min="14343" max="14343" width="13.33203125" style="187" customWidth="1"/>
    <col min="14344" max="14345" width="14" style="187" customWidth="1"/>
    <col min="14346" max="14346" width="13.33203125" style="187" customWidth="1"/>
    <col min="14347" max="14347" width="12.33203125" style="187" customWidth="1"/>
    <col min="14348" max="14348" width="14.33203125" style="187" customWidth="1"/>
    <col min="14349" max="14349" width="15.1640625" style="187" customWidth="1"/>
    <col min="14350" max="14592" width="9.33203125" style="187"/>
    <col min="14593" max="14593" width="5.83203125" style="187" customWidth="1"/>
    <col min="14594" max="14594" width="22.33203125" style="187" customWidth="1"/>
    <col min="14595" max="14595" width="13" style="187" customWidth="1"/>
    <col min="14596" max="14596" width="11" style="187" customWidth="1"/>
    <col min="14597" max="14597" width="15.5" style="187" customWidth="1"/>
    <col min="14598" max="14598" width="11.1640625" style="187" customWidth="1"/>
    <col min="14599" max="14599" width="13.33203125" style="187" customWidth="1"/>
    <col min="14600" max="14601" width="14" style="187" customWidth="1"/>
    <col min="14602" max="14602" width="13.33203125" style="187" customWidth="1"/>
    <col min="14603" max="14603" width="12.33203125" style="187" customWidth="1"/>
    <col min="14604" max="14604" width="14.33203125" style="187" customWidth="1"/>
    <col min="14605" max="14605" width="15.1640625" style="187" customWidth="1"/>
    <col min="14606" max="14848" width="9.33203125" style="187"/>
    <col min="14849" max="14849" width="5.83203125" style="187" customWidth="1"/>
    <col min="14850" max="14850" width="22.33203125" style="187" customWidth="1"/>
    <col min="14851" max="14851" width="13" style="187" customWidth="1"/>
    <col min="14852" max="14852" width="11" style="187" customWidth="1"/>
    <col min="14853" max="14853" width="15.5" style="187" customWidth="1"/>
    <col min="14854" max="14854" width="11.1640625" style="187" customWidth="1"/>
    <col min="14855" max="14855" width="13.33203125" style="187" customWidth="1"/>
    <col min="14856" max="14857" width="14" style="187" customWidth="1"/>
    <col min="14858" max="14858" width="13.33203125" style="187" customWidth="1"/>
    <col min="14859" max="14859" width="12.33203125" style="187" customWidth="1"/>
    <col min="14860" max="14860" width="14.33203125" style="187" customWidth="1"/>
    <col min="14861" max="14861" width="15.1640625" style="187" customWidth="1"/>
    <col min="14862" max="15104" width="9.33203125" style="187"/>
    <col min="15105" max="15105" width="5.83203125" style="187" customWidth="1"/>
    <col min="15106" max="15106" width="22.33203125" style="187" customWidth="1"/>
    <col min="15107" max="15107" width="13" style="187" customWidth="1"/>
    <col min="15108" max="15108" width="11" style="187" customWidth="1"/>
    <col min="15109" max="15109" width="15.5" style="187" customWidth="1"/>
    <col min="15110" max="15110" width="11.1640625" style="187" customWidth="1"/>
    <col min="15111" max="15111" width="13.33203125" style="187" customWidth="1"/>
    <col min="15112" max="15113" width="14" style="187" customWidth="1"/>
    <col min="15114" max="15114" width="13.33203125" style="187" customWidth="1"/>
    <col min="15115" max="15115" width="12.33203125" style="187" customWidth="1"/>
    <col min="15116" max="15116" width="14.33203125" style="187" customWidth="1"/>
    <col min="15117" max="15117" width="15.1640625" style="187" customWidth="1"/>
    <col min="15118" max="15360" width="9.33203125" style="187"/>
    <col min="15361" max="15361" width="5.83203125" style="187" customWidth="1"/>
    <col min="15362" max="15362" width="22.33203125" style="187" customWidth="1"/>
    <col min="15363" max="15363" width="13" style="187" customWidth="1"/>
    <col min="15364" max="15364" width="11" style="187" customWidth="1"/>
    <col min="15365" max="15365" width="15.5" style="187" customWidth="1"/>
    <col min="15366" max="15366" width="11.1640625" style="187" customWidth="1"/>
    <col min="15367" max="15367" width="13.33203125" style="187" customWidth="1"/>
    <col min="15368" max="15369" width="14" style="187" customWidth="1"/>
    <col min="15370" max="15370" width="13.33203125" style="187" customWidth="1"/>
    <col min="15371" max="15371" width="12.33203125" style="187" customWidth="1"/>
    <col min="15372" max="15372" width="14.33203125" style="187" customWidth="1"/>
    <col min="15373" max="15373" width="15.1640625" style="187" customWidth="1"/>
    <col min="15374" max="15616" width="9.33203125" style="187"/>
    <col min="15617" max="15617" width="5.83203125" style="187" customWidth="1"/>
    <col min="15618" max="15618" width="22.33203125" style="187" customWidth="1"/>
    <col min="15619" max="15619" width="13" style="187" customWidth="1"/>
    <col min="15620" max="15620" width="11" style="187" customWidth="1"/>
    <col min="15621" max="15621" width="15.5" style="187" customWidth="1"/>
    <col min="15622" max="15622" width="11.1640625" style="187" customWidth="1"/>
    <col min="15623" max="15623" width="13.33203125" style="187" customWidth="1"/>
    <col min="15624" max="15625" width="14" style="187" customWidth="1"/>
    <col min="15626" max="15626" width="13.33203125" style="187" customWidth="1"/>
    <col min="15627" max="15627" width="12.33203125" style="187" customWidth="1"/>
    <col min="15628" max="15628" width="14.33203125" style="187" customWidth="1"/>
    <col min="15629" max="15629" width="15.1640625" style="187" customWidth="1"/>
    <col min="15630" max="15872" width="9.33203125" style="187"/>
    <col min="15873" max="15873" width="5.83203125" style="187" customWidth="1"/>
    <col min="15874" max="15874" width="22.33203125" style="187" customWidth="1"/>
    <col min="15875" max="15875" width="13" style="187" customWidth="1"/>
    <col min="15876" max="15876" width="11" style="187" customWidth="1"/>
    <col min="15877" max="15877" width="15.5" style="187" customWidth="1"/>
    <col min="15878" max="15878" width="11.1640625" style="187" customWidth="1"/>
    <col min="15879" max="15879" width="13.33203125" style="187" customWidth="1"/>
    <col min="15880" max="15881" width="14" style="187" customWidth="1"/>
    <col min="15882" max="15882" width="13.33203125" style="187" customWidth="1"/>
    <col min="15883" max="15883" width="12.33203125" style="187" customWidth="1"/>
    <col min="15884" max="15884" width="14.33203125" style="187" customWidth="1"/>
    <col min="15885" max="15885" width="15.1640625" style="187" customWidth="1"/>
    <col min="15886" max="16128" width="9.33203125" style="187"/>
    <col min="16129" max="16129" width="5.83203125" style="187" customWidth="1"/>
    <col min="16130" max="16130" width="22.33203125" style="187" customWidth="1"/>
    <col min="16131" max="16131" width="13" style="187" customWidth="1"/>
    <col min="16132" max="16132" width="11" style="187" customWidth="1"/>
    <col min="16133" max="16133" width="15.5" style="187" customWidth="1"/>
    <col min="16134" max="16134" width="11.1640625" style="187" customWidth="1"/>
    <col min="16135" max="16135" width="13.33203125" style="187" customWidth="1"/>
    <col min="16136" max="16137" width="14" style="187" customWidth="1"/>
    <col min="16138" max="16138" width="13.33203125" style="187" customWidth="1"/>
    <col min="16139" max="16139" width="12.33203125" style="187" customWidth="1"/>
    <col min="16140" max="16140" width="14.33203125" style="187" customWidth="1"/>
    <col min="16141" max="16141" width="15.1640625" style="187" customWidth="1"/>
    <col min="16142" max="16384" width="9.33203125" style="187"/>
  </cols>
  <sheetData>
    <row r="1" spans="1:13" ht="33" customHeight="1" x14ac:dyDescent="0.2">
      <c r="A1" s="1162" t="s">
        <v>743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</row>
    <row r="2" spans="1:13" ht="15" x14ac:dyDescent="0.2">
      <c r="A2" s="188"/>
      <c r="B2" s="189"/>
      <c r="C2" s="189"/>
      <c r="D2" s="190"/>
      <c r="E2" s="191"/>
      <c r="F2" s="191"/>
      <c r="G2" s="192"/>
      <c r="H2" s="192"/>
      <c r="I2" s="191"/>
    </row>
    <row r="3" spans="1:13" ht="15" x14ac:dyDescent="0.2">
      <c r="A3" s="188"/>
      <c r="B3" s="193"/>
      <c r="C3" s="193"/>
      <c r="D3" s="194"/>
      <c r="E3" s="190"/>
      <c r="F3" s="190"/>
      <c r="G3" s="190"/>
      <c r="H3" s="190"/>
      <c r="I3" s="190"/>
      <c r="K3" s="1175" t="s">
        <v>1</v>
      </c>
      <c r="L3" s="1175"/>
      <c r="M3" s="1175"/>
    </row>
    <row r="4" spans="1:13" s="202" customFormat="1" ht="75.75" customHeight="1" x14ac:dyDescent="0.2">
      <c r="A4" s="196" t="s">
        <v>365</v>
      </c>
      <c r="B4" s="197" t="s">
        <v>401</v>
      </c>
      <c r="C4" s="197" t="s">
        <v>402</v>
      </c>
      <c r="D4" s="197" t="s">
        <v>412</v>
      </c>
      <c r="E4" s="197" t="s">
        <v>201</v>
      </c>
      <c r="F4" s="197" t="s">
        <v>413</v>
      </c>
      <c r="G4" s="198" t="s">
        <v>205</v>
      </c>
      <c r="H4" s="198" t="s">
        <v>414</v>
      </c>
      <c r="I4" s="198" t="s">
        <v>226</v>
      </c>
      <c r="J4" s="200" t="s">
        <v>228</v>
      </c>
      <c r="K4" s="227" t="s">
        <v>230</v>
      </c>
      <c r="L4" s="200" t="s">
        <v>415</v>
      </c>
      <c r="M4" s="228" t="s">
        <v>416</v>
      </c>
    </row>
    <row r="5" spans="1:13" ht="46.5" customHeight="1" x14ac:dyDescent="0.2">
      <c r="A5" s="203" t="s">
        <v>9</v>
      </c>
      <c r="B5" s="916" t="s">
        <v>612</v>
      </c>
      <c r="C5" s="917" t="s">
        <v>611</v>
      </c>
      <c r="D5" s="229"/>
      <c r="E5" s="230"/>
      <c r="F5" s="230"/>
      <c r="G5" s="231"/>
      <c r="H5" s="231"/>
      <c r="I5" s="230"/>
      <c r="J5" s="232"/>
      <c r="K5" s="233"/>
      <c r="L5" s="232"/>
      <c r="M5" s="234">
        <f>SUM(D5:L5)</f>
        <v>0</v>
      </c>
    </row>
    <row r="6" spans="1:13" ht="46.5" customHeight="1" x14ac:dyDescent="0.2">
      <c r="A6" s="635" t="s">
        <v>15</v>
      </c>
      <c r="B6" s="918" t="s">
        <v>616</v>
      </c>
      <c r="C6" s="919" t="s">
        <v>615</v>
      </c>
      <c r="D6" s="636"/>
      <c r="E6" s="637"/>
      <c r="F6" s="637"/>
      <c r="G6" s="638"/>
      <c r="H6" s="638"/>
      <c r="I6" s="637"/>
      <c r="J6" s="639"/>
      <c r="K6" s="640"/>
      <c r="L6" s="639"/>
      <c r="M6" s="234">
        <f>SUM(D6:L6)</f>
        <v>0</v>
      </c>
    </row>
    <row r="7" spans="1:13" ht="46.5" customHeight="1" x14ac:dyDescent="0.2">
      <c r="A7" s="204" t="s">
        <v>18</v>
      </c>
      <c r="B7" s="920" t="s">
        <v>614</v>
      </c>
      <c r="C7" s="921" t="s">
        <v>613</v>
      </c>
      <c r="D7" s="235"/>
      <c r="E7" s="236"/>
      <c r="F7" s="236"/>
      <c r="G7" s="237"/>
      <c r="H7" s="237"/>
      <c r="I7" s="236"/>
      <c r="J7" s="238"/>
      <c r="K7" s="239"/>
      <c r="L7" s="240"/>
      <c r="M7" s="234">
        <f>SUM(D7:L7)</f>
        <v>0</v>
      </c>
    </row>
    <row r="8" spans="1:13" s="209" customFormat="1" ht="33" customHeight="1" x14ac:dyDescent="0.25">
      <c r="A8" s="205" t="s">
        <v>21</v>
      </c>
      <c r="B8" s="206" t="s">
        <v>366</v>
      </c>
      <c r="C8" s="207"/>
      <c r="D8" s="208">
        <f t="shared" ref="D8:M8" si="0">SUM(D5:D7)</f>
        <v>0</v>
      </c>
      <c r="E8" s="208">
        <f t="shared" si="0"/>
        <v>0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208">
        <f t="shared" si="0"/>
        <v>0</v>
      </c>
      <c r="L8" s="208">
        <f t="shared" si="0"/>
        <v>0</v>
      </c>
      <c r="M8" s="241">
        <f t="shared" si="0"/>
        <v>0</v>
      </c>
    </row>
    <row r="9" spans="1:13" ht="21" customHeight="1" x14ac:dyDescent="0.2">
      <c r="A9" s="210"/>
      <c r="B9" s="211"/>
      <c r="C9" s="211"/>
      <c r="D9" s="212"/>
      <c r="E9" s="213"/>
      <c r="F9" s="212"/>
      <c r="G9" s="212"/>
      <c r="H9" s="212"/>
      <c r="I9" s="214"/>
    </row>
    <row r="10" spans="1:13" ht="42" customHeight="1" x14ac:dyDescent="0.2">
      <c r="A10" s="210"/>
      <c r="B10" s="215"/>
      <c r="C10" s="216"/>
      <c r="D10" s="217"/>
      <c r="E10" s="213"/>
      <c r="F10" s="213"/>
      <c r="G10" s="212"/>
      <c r="H10" s="212"/>
      <c r="I10" s="212"/>
    </row>
    <row r="11" spans="1:13" ht="42" customHeight="1" x14ac:dyDescent="0.2">
      <c r="A11" s="218"/>
      <c r="B11" s="219"/>
      <c r="C11" s="220"/>
      <c r="D11" s="221"/>
      <c r="E11" s="191"/>
      <c r="F11" s="191"/>
      <c r="G11" s="192"/>
      <c r="H11" s="192"/>
      <c r="I11" s="192"/>
    </row>
    <row r="12" spans="1:13" ht="15" x14ac:dyDescent="0.2">
      <c r="A12" s="188"/>
      <c r="B12" s="189"/>
      <c r="C12" s="189"/>
      <c r="D12" s="190"/>
      <c r="E12" s="190"/>
      <c r="F12" s="190"/>
      <c r="G12" s="190"/>
      <c r="H12" s="190"/>
      <c r="I12" s="190"/>
    </row>
    <row r="13" spans="1:13" s="223" customFormat="1" ht="15" x14ac:dyDescent="0.2">
      <c r="A13" s="188"/>
      <c r="B13" s="189"/>
      <c r="C13" s="189"/>
      <c r="D13" s="190"/>
      <c r="E13" s="191"/>
      <c r="F13" s="222"/>
      <c r="G13" s="222"/>
      <c r="H13" s="222"/>
      <c r="I13" s="22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……/2017. (……)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7:J29"/>
  <sheetViews>
    <sheetView workbookViewId="0">
      <selection activeCell="B29" sqref="B29"/>
    </sheetView>
  </sheetViews>
  <sheetFormatPr defaultColWidth="9.33203125" defaultRowHeight="12.75" x14ac:dyDescent="0.2"/>
  <cols>
    <col min="1" max="1" width="9.33203125" style="134"/>
    <col min="2" max="2" width="88.83203125" style="134" customWidth="1"/>
    <col min="3" max="3" width="17.83203125" style="134" customWidth="1"/>
    <col min="4" max="11" width="21.5" style="134" customWidth="1"/>
    <col min="12" max="16384" width="9.33203125" style="134"/>
  </cols>
  <sheetData>
    <row r="7" spans="1:10" x14ac:dyDescent="0.2">
      <c r="A7" s="1165"/>
      <c r="B7" s="1166" t="s">
        <v>262</v>
      </c>
      <c r="C7" s="1165" t="s">
        <v>722</v>
      </c>
      <c r="D7" s="1165"/>
      <c r="E7" s="1165"/>
      <c r="F7" s="1165"/>
      <c r="G7" s="1165"/>
      <c r="H7" s="1165"/>
      <c r="I7" s="1165"/>
      <c r="J7" s="1165"/>
    </row>
    <row r="8" spans="1:10" x14ac:dyDescent="0.2">
      <c r="A8" s="1165"/>
      <c r="B8" s="1167"/>
      <c r="C8" s="1165" t="s">
        <v>412</v>
      </c>
      <c r="D8" s="1165"/>
      <c r="E8" s="1165"/>
      <c r="F8" s="1165"/>
      <c r="G8" s="1165"/>
      <c r="H8" s="1165"/>
      <c r="I8" s="1165"/>
      <c r="J8" s="1165"/>
    </row>
    <row r="9" spans="1:10" ht="45" x14ac:dyDescent="0.25">
      <c r="A9" s="1165"/>
      <c r="B9" s="1168"/>
      <c r="C9" s="950" t="s">
        <v>781</v>
      </c>
      <c r="D9" s="951" t="s">
        <v>836</v>
      </c>
      <c r="E9" s="951" t="s">
        <v>837</v>
      </c>
      <c r="F9" s="951" t="s">
        <v>838</v>
      </c>
      <c r="G9" s="951"/>
      <c r="H9" s="951"/>
      <c r="I9" s="951"/>
      <c r="J9" s="951" t="s">
        <v>851</v>
      </c>
    </row>
    <row r="10" spans="1:10" ht="15.75" x14ac:dyDescent="0.2">
      <c r="A10" s="941" t="s">
        <v>9</v>
      </c>
      <c r="B10" s="942" t="s">
        <v>799</v>
      </c>
      <c r="C10" s="943">
        <f>SUM(D10:J10)</f>
        <v>9067600</v>
      </c>
      <c r="D10" s="943"/>
      <c r="E10" s="943"/>
      <c r="F10" s="943"/>
      <c r="G10" s="943"/>
      <c r="H10" s="943"/>
      <c r="I10" s="952"/>
      <c r="J10" s="973">
        <f>'[18]201712'!$AB$186+'[19]Összesen 1-11 hó'!$AG$185</f>
        <v>9067600</v>
      </c>
    </row>
    <row r="11" spans="1:10" ht="15.75" x14ac:dyDescent="0.2">
      <c r="A11" s="941" t="s">
        <v>12</v>
      </c>
      <c r="B11" s="942" t="s">
        <v>800</v>
      </c>
      <c r="C11" s="943">
        <f t="shared" ref="C11:C18" si="0">SUM(D11:J11)</f>
        <v>0</v>
      </c>
      <c r="D11" s="943"/>
      <c r="E11" s="943"/>
      <c r="F11" s="943"/>
      <c r="G11" s="943"/>
      <c r="H11" s="943"/>
      <c r="I11" s="952"/>
      <c r="J11" s="952"/>
    </row>
    <row r="12" spans="1:10" ht="15.75" x14ac:dyDescent="0.25">
      <c r="A12" s="941" t="s">
        <v>15</v>
      </c>
      <c r="B12" s="946" t="s">
        <v>785</v>
      </c>
      <c r="C12" s="943">
        <f t="shared" si="0"/>
        <v>0</v>
      </c>
      <c r="D12" s="943"/>
      <c r="E12" s="943"/>
      <c r="F12" s="943"/>
      <c r="G12" s="943"/>
      <c r="H12" s="943"/>
      <c r="I12" s="952"/>
      <c r="J12" s="952"/>
    </row>
    <row r="13" spans="1:10" ht="15.75" x14ac:dyDescent="0.2">
      <c r="A13" s="941" t="s">
        <v>18</v>
      </c>
      <c r="B13" s="942" t="s">
        <v>782</v>
      </c>
      <c r="C13" s="943">
        <f t="shared" si="0"/>
        <v>0</v>
      </c>
      <c r="D13" s="943"/>
      <c r="E13" s="943"/>
      <c r="F13" s="943"/>
      <c r="G13" s="943"/>
      <c r="H13" s="943"/>
      <c r="I13" s="952"/>
      <c r="J13" s="952"/>
    </row>
    <row r="14" spans="1:10" ht="15.75" x14ac:dyDescent="0.2">
      <c r="A14" s="941" t="s">
        <v>21</v>
      </c>
      <c r="B14" s="944" t="s">
        <v>784</v>
      </c>
      <c r="C14" s="943">
        <f t="shared" si="0"/>
        <v>180000</v>
      </c>
      <c r="D14" s="943"/>
      <c r="E14" s="943"/>
      <c r="F14" s="943"/>
      <c r="G14" s="943"/>
      <c r="H14" s="943"/>
      <c r="I14" s="952"/>
      <c r="J14" s="973">
        <f>[18]Cafetéria!$D$186</f>
        <v>180000</v>
      </c>
    </row>
    <row r="15" spans="1:10" ht="15.75" x14ac:dyDescent="0.2">
      <c r="A15" s="941" t="s">
        <v>24</v>
      </c>
      <c r="B15" s="942" t="s">
        <v>783</v>
      </c>
      <c r="C15" s="943">
        <f t="shared" si="0"/>
        <v>394848</v>
      </c>
      <c r="D15" s="943"/>
      <c r="E15" s="943"/>
      <c r="F15" s="943"/>
      <c r="G15" s="943"/>
      <c r="H15" s="943"/>
      <c r="I15" s="952"/>
      <c r="J15" s="973">
        <f>'[18]Munkába járás'!$C$186</f>
        <v>394848</v>
      </c>
    </row>
    <row r="16" spans="1:10" ht="15.75" x14ac:dyDescent="0.2">
      <c r="A16" s="941" t="s">
        <v>27</v>
      </c>
      <c r="B16" s="942" t="s">
        <v>803</v>
      </c>
      <c r="C16" s="943">
        <f t="shared" si="0"/>
        <v>0</v>
      </c>
      <c r="D16" s="943"/>
      <c r="E16" s="943"/>
      <c r="F16" s="943"/>
      <c r="G16" s="943"/>
      <c r="H16" s="943"/>
      <c r="I16" s="952"/>
      <c r="J16" s="952"/>
    </row>
    <row r="17" spans="1:10" ht="15.75" x14ac:dyDescent="0.2">
      <c r="A17" s="941" t="s">
        <v>30</v>
      </c>
      <c r="B17" s="942" t="s">
        <v>801</v>
      </c>
      <c r="C17" s="943">
        <f t="shared" si="0"/>
        <v>0</v>
      </c>
      <c r="D17" s="943"/>
      <c r="E17" s="943"/>
      <c r="F17" s="943"/>
      <c r="G17" s="943"/>
      <c r="H17" s="943"/>
      <c r="I17" s="952"/>
      <c r="J17" s="952"/>
    </row>
    <row r="18" spans="1:10" ht="15.75" x14ac:dyDescent="0.2">
      <c r="A18" s="941" t="s">
        <v>33</v>
      </c>
      <c r="B18" s="945" t="s">
        <v>802</v>
      </c>
      <c r="C18" s="943">
        <f t="shared" si="0"/>
        <v>0</v>
      </c>
      <c r="D18" s="943"/>
      <c r="E18" s="943"/>
      <c r="F18" s="943"/>
      <c r="G18" s="943"/>
      <c r="H18" s="943"/>
      <c r="I18" s="952"/>
      <c r="J18" s="952"/>
    </row>
    <row r="19" spans="1:10" ht="15.75" x14ac:dyDescent="0.2">
      <c r="A19" s="941" t="s">
        <v>59</v>
      </c>
      <c r="B19" s="947" t="s">
        <v>798</v>
      </c>
      <c r="C19" s="948">
        <f t="shared" ref="C19:J19" si="1">SUM(C10:C18)</f>
        <v>9642448</v>
      </c>
      <c r="D19" s="948">
        <f t="shared" si="1"/>
        <v>0</v>
      </c>
      <c r="E19" s="948">
        <f t="shared" si="1"/>
        <v>0</v>
      </c>
      <c r="F19" s="948">
        <f t="shared" si="1"/>
        <v>0</v>
      </c>
      <c r="G19" s="948">
        <f t="shared" si="1"/>
        <v>0</v>
      </c>
      <c r="H19" s="948">
        <f t="shared" si="1"/>
        <v>0</v>
      </c>
      <c r="I19" s="948">
        <f t="shared" si="1"/>
        <v>0</v>
      </c>
      <c r="J19" s="948">
        <f t="shared" si="1"/>
        <v>9642448</v>
      </c>
    </row>
    <row r="20" spans="1:10" ht="15.75" x14ac:dyDescent="0.2">
      <c r="A20" s="941" t="s">
        <v>61</v>
      </c>
      <c r="B20" s="942" t="s">
        <v>787</v>
      </c>
      <c r="C20" s="943">
        <f>SUM(D20:J20)</f>
        <v>1785427</v>
      </c>
      <c r="D20" s="943"/>
      <c r="E20" s="943"/>
      <c r="F20" s="943"/>
      <c r="G20" s="943"/>
      <c r="H20" s="943"/>
      <c r="I20" s="952"/>
      <c r="J20" s="973">
        <f>'[18]201712'!$AH$186+'[19]Összesen 1-11 hó'!$AH$185</f>
        <v>1785427</v>
      </c>
    </row>
    <row r="21" spans="1:10" ht="15.75" x14ac:dyDescent="0.2">
      <c r="A21" s="941" t="s">
        <v>63</v>
      </c>
      <c r="B21" s="942" t="s">
        <v>789</v>
      </c>
      <c r="C21" s="943">
        <f t="shared" ref="C21:C23" si="2">SUM(D21:J21)</f>
        <v>29736.000000000004</v>
      </c>
      <c r="D21" s="943"/>
      <c r="E21" s="943"/>
      <c r="F21" s="943"/>
      <c r="G21" s="943"/>
      <c r="H21" s="943"/>
      <c r="I21" s="952"/>
      <c r="J21" s="973">
        <f>[18]Cafetéria!$F$186</f>
        <v>29736.000000000004</v>
      </c>
    </row>
    <row r="22" spans="1:10" ht="15.75" x14ac:dyDescent="0.2">
      <c r="A22" s="941"/>
      <c r="B22" s="942" t="s">
        <v>788</v>
      </c>
      <c r="C22" s="943">
        <f>SUM(D22:J22)</f>
        <v>31860</v>
      </c>
      <c r="D22" s="943"/>
      <c r="E22" s="943"/>
      <c r="F22" s="943"/>
      <c r="G22" s="943"/>
      <c r="H22" s="943"/>
      <c r="I22" s="952"/>
      <c r="J22" s="973">
        <f>[18]Cafetéria!$E$186</f>
        <v>31860</v>
      </c>
    </row>
    <row r="23" spans="1:10" ht="15.75" x14ac:dyDescent="0.2">
      <c r="A23" s="941" t="s">
        <v>65</v>
      </c>
      <c r="B23" s="942" t="s">
        <v>797</v>
      </c>
      <c r="C23" s="943">
        <f t="shared" si="2"/>
        <v>0</v>
      </c>
      <c r="D23" s="943"/>
      <c r="E23" s="943"/>
      <c r="F23" s="943"/>
      <c r="G23" s="943"/>
      <c r="H23" s="943"/>
      <c r="I23" s="952"/>
      <c r="J23" s="952"/>
    </row>
    <row r="24" spans="1:10" ht="15.75" x14ac:dyDescent="0.2">
      <c r="A24" s="941" t="s">
        <v>67</v>
      </c>
      <c r="B24" s="947" t="s">
        <v>786</v>
      </c>
      <c r="C24" s="948">
        <f>SUM(C20:C23)</f>
        <v>1847023</v>
      </c>
      <c r="D24" s="948">
        <f t="shared" ref="D24:J24" si="3">SUM(D20:D23)</f>
        <v>0</v>
      </c>
      <c r="E24" s="948">
        <f t="shared" si="3"/>
        <v>0</v>
      </c>
      <c r="F24" s="948">
        <f t="shared" si="3"/>
        <v>0</v>
      </c>
      <c r="G24" s="948">
        <f t="shared" si="3"/>
        <v>0</v>
      </c>
      <c r="H24" s="948">
        <f t="shared" si="3"/>
        <v>0</v>
      </c>
      <c r="I24" s="948">
        <f t="shared" si="3"/>
        <v>0</v>
      </c>
      <c r="J24" s="948">
        <f t="shared" si="3"/>
        <v>1847023</v>
      </c>
    </row>
    <row r="28" spans="1:10" ht="15" x14ac:dyDescent="0.25">
      <c r="D28" s="959"/>
      <c r="E28" s="959"/>
      <c r="F28" s="959"/>
    </row>
    <row r="29" spans="1:10" ht="15" x14ac:dyDescent="0.25">
      <c r="D29" s="960"/>
      <c r="E29" s="960"/>
      <c r="F29" s="960"/>
    </row>
  </sheetData>
  <mergeCells count="4">
    <mergeCell ref="A7:A9"/>
    <mergeCell ref="B7:B9"/>
    <mergeCell ref="C7:J7"/>
    <mergeCell ref="C8:J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7:AC56"/>
  <sheetViews>
    <sheetView topLeftCell="A13" zoomScale="70" zoomScaleNormal="70" workbookViewId="0">
      <selection activeCell="N29" sqref="N29"/>
    </sheetView>
  </sheetViews>
  <sheetFormatPr defaultRowHeight="12.75" x14ac:dyDescent="0.2"/>
  <cols>
    <col min="3" max="3" width="88.83203125" customWidth="1"/>
    <col min="4" max="4" width="17.83203125" customWidth="1"/>
    <col min="5" max="9" width="21.5" hidden="1" customWidth="1"/>
    <col min="10" max="11" width="21.5" customWidth="1"/>
    <col min="12" max="21" width="22.33203125" customWidth="1"/>
  </cols>
  <sheetData>
    <row r="7" spans="2:29" x14ac:dyDescent="0.2">
      <c r="U7" s="953"/>
    </row>
    <row r="8" spans="2:29" x14ac:dyDescent="0.2">
      <c r="U8" s="953"/>
    </row>
    <row r="9" spans="2:29" x14ac:dyDescent="0.2">
      <c r="U9" s="953"/>
    </row>
    <row r="10" spans="2:29" x14ac:dyDescent="0.2">
      <c r="B10" s="1165"/>
      <c r="C10" s="1166" t="s">
        <v>262</v>
      </c>
      <c r="D10" s="1165" t="s">
        <v>722</v>
      </c>
      <c r="E10" s="1165"/>
      <c r="F10" s="1165"/>
      <c r="G10" s="1165"/>
      <c r="H10" s="1165"/>
      <c r="I10" s="1165"/>
      <c r="J10" s="1165"/>
      <c r="K10" s="1165"/>
      <c r="U10" s="953"/>
    </row>
    <row r="11" spans="2:29" ht="12.75" customHeight="1" x14ac:dyDescent="0.2">
      <c r="B11" s="1165"/>
      <c r="C11" s="1167"/>
      <c r="D11" s="1165" t="s">
        <v>413</v>
      </c>
      <c r="E11" s="1165"/>
      <c r="F11" s="1165"/>
      <c r="G11" s="1165"/>
      <c r="H11" s="1165"/>
      <c r="I11" s="1165"/>
      <c r="J11" s="1165"/>
      <c r="K11" s="1165"/>
      <c r="U11" s="953"/>
    </row>
    <row r="12" spans="2:29" ht="93.75" customHeight="1" x14ac:dyDescent="0.25">
      <c r="B12" s="1165"/>
      <c r="C12" s="1168"/>
      <c r="D12" s="950" t="s">
        <v>781</v>
      </c>
      <c r="E12" s="951"/>
      <c r="F12" s="951"/>
      <c r="G12" s="951"/>
      <c r="H12" s="951"/>
      <c r="I12" s="951"/>
      <c r="J12" s="951"/>
      <c r="K12" s="951" t="s">
        <v>852</v>
      </c>
      <c r="M12" t="s">
        <v>849</v>
      </c>
      <c r="U12" s="953"/>
    </row>
    <row r="13" spans="2:29" ht="15.75" x14ac:dyDescent="0.2">
      <c r="B13" s="941"/>
      <c r="C13" s="955" t="s">
        <v>804</v>
      </c>
      <c r="D13" s="943">
        <f>SUM(E13:K13)</f>
        <v>201410</v>
      </c>
      <c r="E13" s="943"/>
      <c r="F13" s="943"/>
      <c r="G13" s="943"/>
      <c r="H13" s="943"/>
      <c r="I13" s="943"/>
      <c r="J13" s="952"/>
      <c r="K13" s="952">
        <f>M13+N13</f>
        <v>201410</v>
      </c>
      <c r="M13">
        <f>83300</f>
        <v>83300</v>
      </c>
      <c r="N13">
        <v>118110</v>
      </c>
      <c r="U13" s="953"/>
    </row>
    <row r="14" spans="2:29" ht="15.75" x14ac:dyDescent="0.2">
      <c r="B14" s="941"/>
      <c r="C14" s="955" t="s">
        <v>805</v>
      </c>
      <c r="D14" s="943">
        <f t="shared" ref="D14:D32" si="0">SUM(E14:K14)</f>
        <v>398802</v>
      </c>
      <c r="E14" s="943"/>
      <c r="F14" s="943"/>
      <c r="G14" s="943"/>
      <c r="H14" s="943"/>
      <c r="I14" s="943"/>
      <c r="J14" s="952"/>
      <c r="K14" s="952">
        <f t="shared" ref="K14:K32" si="1">M14+N14</f>
        <v>398802</v>
      </c>
      <c r="M14">
        <v>12188</v>
      </c>
      <c r="N14">
        <v>386614</v>
      </c>
      <c r="U14" s="953"/>
    </row>
    <row r="15" spans="2:29" ht="15.75" x14ac:dyDescent="0.2">
      <c r="B15" s="941"/>
      <c r="C15" s="955" t="s">
        <v>817</v>
      </c>
      <c r="D15" s="943">
        <f t="shared" si="0"/>
        <v>0</v>
      </c>
      <c r="E15" s="943"/>
      <c r="F15" s="943"/>
      <c r="G15" s="943"/>
      <c r="H15" s="943"/>
      <c r="I15" s="943"/>
      <c r="J15" s="952"/>
      <c r="K15" s="952">
        <f t="shared" si="1"/>
        <v>0</v>
      </c>
      <c r="L15" s="962"/>
      <c r="M15" s="962"/>
      <c r="N15" s="962"/>
      <c r="O15" s="962"/>
      <c r="P15" s="962"/>
      <c r="Q15" s="962"/>
      <c r="R15" s="962"/>
      <c r="S15" s="962"/>
      <c r="T15" s="962"/>
      <c r="U15" s="969"/>
      <c r="V15" s="962"/>
      <c r="W15" s="962"/>
      <c r="X15" s="962"/>
      <c r="Y15" s="962"/>
      <c r="Z15" s="962"/>
      <c r="AA15" s="962"/>
      <c r="AB15" s="962"/>
      <c r="AC15" s="962"/>
    </row>
    <row r="16" spans="2:29" ht="15.75" x14ac:dyDescent="0.2">
      <c r="B16" s="941"/>
      <c r="C16" s="955" t="s">
        <v>806</v>
      </c>
      <c r="D16" s="943">
        <f t="shared" si="0"/>
        <v>236220</v>
      </c>
      <c r="E16" s="943"/>
      <c r="F16" s="943"/>
      <c r="G16" s="943"/>
      <c r="H16" s="943"/>
      <c r="I16" s="943"/>
      <c r="J16" s="952"/>
      <c r="K16" s="952">
        <f t="shared" si="1"/>
        <v>236220</v>
      </c>
      <c r="L16" s="962"/>
      <c r="M16" s="962"/>
      <c r="N16" s="962">
        <v>236220</v>
      </c>
      <c r="O16" s="962"/>
      <c r="P16" s="962"/>
      <c r="Q16" s="962"/>
      <c r="R16" s="962"/>
      <c r="S16" s="962"/>
      <c r="T16" s="962"/>
      <c r="U16" s="969"/>
      <c r="V16" s="962"/>
      <c r="W16" s="962"/>
      <c r="X16" s="962"/>
      <c r="Y16" s="962"/>
      <c r="Z16" s="962"/>
      <c r="AA16" s="962"/>
      <c r="AB16" s="962"/>
      <c r="AC16" s="962"/>
    </row>
    <row r="17" spans="2:29" ht="15.75" x14ac:dyDescent="0.2">
      <c r="B17" s="941"/>
      <c r="C17" s="955" t="s">
        <v>807</v>
      </c>
      <c r="D17" s="943">
        <f t="shared" si="0"/>
        <v>11491</v>
      </c>
      <c r="E17" s="943"/>
      <c r="F17" s="943"/>
      <c r="G17" s="943"/>
      <c r="H17" s="943"/>
      <c r="I17" s="943"/>
      <c r="J17" s="952"/>
      <c r="K17" s="952">
        <f t="shared" si="1"/>
        <v>11491</v>
      </c>
      <c r="L17" s="962"/>
      <c r="M17" s="962">
        <v>11491</v>
      </c>
      <c r="N17" s="962"/>
      <c r="O17" s="962"/>
      <c r="P17" s="962"/>
      <c r="Q17" s="962"/>
      <c r="R17" s="962"/>
      <c r="S17" s="962"/>
      <c r="T17" s="962"/>
      <c r="U17" s="969"/>
      <c r="V17" s="962"/>
      <c r="W17" s="962"/>
      <c r="X17" s="962"/>
      <c r="Y17" s="962"/>
      <c r="Z17" s="962"/>
      <c r="AA17" s="962"/>
      <c r="AB17" s="962"/>
      <c r="AC17" s="962"/>
    </row>
    <row r="18" spans="2:29" s="967" customFormat="1" ht="15.75" x14ac:dyDescent="0.2">
      <c r="B18" s="964"/>
      <c r="C18" s="955" t="s">
        <v>857</v>
      </c>
      <c r="D18" s="965">
        <f t="shared" si="0"/>
        <v>691666.30708661419</v>
      </c>
      <c r="E18" s="965"/>
      <c r="F18" s="965"/>
      <c r="G18" s="965"/>
      <c r="H18" s="965"/>
      <c r="I18" s="965"/>
      <c r="J18" s="966"/>
      <c r="K18" s="952">
        <f t="shared" si="1"/>
        <v>691666.30708661419</v>
      </c>
      <c r="L18" s="970"/>
      <c r="M18" s="970">
        <v>38123</v>
      </c>
      <c r="N18" s="970">
        <v>653543.30708661419</v>
      </c>
      <c r="O18" s="970"/>
      <c r="P18" s="970"/>
      <c r="Q18" s="970"/>
      <c r="R18" s="970"/>
      <c r="S18" s="970"/>
      <c r="T18" s="970"/>
      <c r="U18" s="971"/>
      <c r="V18" s="970"/>
      <c r="W18" s="970"/>
      <c r="X18" s="970"/>
      <c r="Y18" s="970"/>
      <c r="Z18" s="970"/>
      <c r="AA18" s="970"/>
      <c r="AB18" s="970"/>
      <c r="AC18" s="970"/>
    </row>
    <row r="19" spans="2:29" s="967" customFormat="1" ht="15.75" x14ac:dyDescent="0.2">
      <c r="B19" s="964"/>
      <c r="C19" s="955" t="s">
        <v>858</v>
      </c>
      <c r="D19" s="965">
        <f t="shared" si="0"/>
        <v>1181961.527559055</v>
      </c>
      <c r="E19" s="965"/>
      <c r="F19" s="965"/>
      <c r="G19" s="965"/>
      <c r="H19" s="965"/>
      <c r="I19" s="965"/>
      <c r="J19" s="966"/>
      <c r="K19" s="952">
        <f t="shared" si="1"/>
        <v>1181961.527559055</v>
      </c>
      <c r="L19" s="970"/>
      <c r="M19" s="970">
        <v>118182</v>
      </c>
      <c r="N19" s="970">
        <v>1063779.527559055</v>
      </c>
      <c r="O19" s="970"/>
      <c r="P19" s="970"/>
      <c r="Q19" s="970"/>
      <c r="R19" s="970"/>
      <c r="S19" s="970"/>
      <c r="T19" s="970"/>
      <c r="U19" s="971"/>
      <c r="V19" s="970"/>
      <c r="W19" s="970"/>
      <c r="X19" s="970"/>
      <c r="Y19" s="970"/>
      <c r="Z19" s="970"/>
      <c r="AA19" s="970"/>
      <c r="AB19" s="970"/>
      <c r="AC19" s="970"/>
    </row>
    <row r="20" spans="2:29" s="967" customFormat="1" ht="15.75" x14ac:dyDescent="0.2">
      <c r="B20" s="964"/>
      <c r="C20" s="955" t="s">
        <v>859</v>
      </c>
      <c r="D20" s="965">
        <f t="shared" si="0"/>
        <v>82771.157480314956</v>
      </c>
      <c r="E20" s="965"/>
      <c r="F20" s="965"/>
      <c r="G20" s="965"/>
      <c r="H20" s="965"/>
      <c r="I20" s="965"/>
      <c r="J20" s="966"/>
      <c r="K20" s="952">
        <f t="shared" si="1"/>
        <v>82771.157480314956</v>
      </c>
      <c r="L20" s="970"/>
      <c r="M20" s="970">
        <v>4031</v>
      </c>
      <c r="N20" s="970">
        <v>78740.157480314956</v>
      </c>
      <c r="O20" s="970"/>
      <c r="P20" s="970"/>
      <c r="Q20" s="970"/>
      <c r="R20" s="970"/>
      <c r="S20" s="970"/>
      <c r="T20" s="970"/>
      <c r="U20" s="971"/>
      <c r="V20" s="970"/>
      <c r="W20" s="970"/>
      <c r="X20" s="970"/>
      <c r="Y20" s="970"/>
      <c r="Z20" s="970"/>
      <c r="AA20" s="970"/>
      <c r="AB20" s="970"/>
      <c r="AC20" s="970"/>
    </row>
    <row r="21" spans="2:29" ht="15.75" x14ac:dyDescent="0.2">
      <c r="B21" s="941"/>
      <c r="C21" s="955" t="s">
        <v>808</v>
      </c>
      <c r="D21" s="943">
        <f t="shared" si="0"/>
        <v>0</v>
      </c>
      <c r="E21" s="943"/>
      <c r="F21" s="943"/>
      <c r="G21" s="943"/>
      <c r="H21" s="943"/>
      <c r="I21" s="943"/>
      <c r="J21" s="952"/>
      <c r="K21" s="952">
        <f t="shared" si="1"/>
        <v>0</v>
      </c>
      <c r="L21" s="962"/>
      <c r="M21" s="962"/>
      <c r="N21" s="962"/>
      <c r="O21" s="962"/>
      <c r="P21" s="962"/>
      <c r="Q21" s="962"/>
      <c r="R21" s="962"/>
      <c r="S21" s="962"/>
      <c r="T21" s="962"/>
      <c r="U21" s="969"/>
      <c r="V21" s="962"/>
      <c r="W21" s="962"/>
      <c r="X21" s="962"/>
      <c r="Y21" s="962"/>
      <c r="Z21" s="962"/>
      <c r="AA21" s="962"/>
      <c r="AB21" s="962"/>
      <c r="AC21" s="962"/>
    </row>
    <row r="22" spans="2:29" ht="15.75" x14ac:dyDescent="0.2">
      <c r="B22" s="941"/>
      <c r="C22" s="955" t="s">
        <v>818</v>
      </c>
      <c r="D22" s="943">
        <f t="shared" si="0"/>
        <v>0</v>
      </c>
      <c r="E22" s="943"/>
      <c r="F22" s="943"/>
      <c r="G22" s="943"/>
      <c r="H22" s="943"/>
      <c r="I22" s="943"/>
      <c r="J22" s="952"/>
      <c r="K22" s="952">
        <f t="shared" si="1"/>
        <v>0</v>
      </c>
      <c r="L22" s="962"/>
      <c r="M22" s="962"/>
      <c r="N22" s="962"/>
      <c r="O22" s="962"/>
      <c r="P22" s="962"/>
      <c r="Q22" s="962"/>
      <c r="R22" s="962"/>
      <c r="S22" s="962"/>
      <c r="T22" s="962"/>
      <c r="U22" s="969"/>
      <c r="V22" s="962"/>
      <c r="W22" s="962"/>
      <c r="X22" s="962"/>
      <c r="Y22" s="962"/>
      <c r="Z22" s="962"/>
      <c r="AA22" s="962"/>
      <c r="AB22" s="962"/>
      <c r="AC22" s="962"/>
    </row>
    <row r="23" spans="2:29" ht="15.75" x14ac:dyDescent="0.2">
      <c r="B23" s="941"/>
      <c r="C23" s="955" t="s">
        <v>809</v>
      </c>
      <c r="D23" s="943">
        <f t="shared" si="0"/>
        <v>236220</v>
      </c>
      <c r="E23" s="943"/>
      <c r="F23" s="943"/>
      <c r="G23" s="943"/>
      <c r="H23" s="943"/>
      <c r="I23" s="943"/>
      <c r="J23" s="952"/>
      <c r="K23" s="952">
        <f t="shared" si="1"/>
        <v>236220</v>
      </c>
      <c r="L23" s="962"/>
      <c r="M23" s="962"/>
      <c r="N23" s="962">
        <v>236220</v>
      </c>
      <c r="O23" s="962"/>
      <c r="P23" s="962"/>
      <c r="Q23" s="962"/>
      <c r="R23" s="962"/>
      <c r="S23" s="962"/>
      <c r="T23" s="962"/>
      <c r="U23" s="969"/>
      <c r="V23" s="962"/>
      <c r="W23" s="962"/>
      <c r="X23" s="962"/>
      <c r="Y23" s="962"/>
      <c r="Z23" s="962"/>
      <c r="AA23" s="962"/>
      <c r="AB23" s="962"/>
      <c r="AC23" s="962"/>
    </row>
    <row r="24" spans="2:29" ht="15.75" x14ac:dyDescent="0.2">
      <c r="B24" s="941"/>
      <c r="C24" s="955" t="s">
        <v>819</v>
      </c>
      <c r="D24" s="943">
        <f t="shared" si="0"/>
        <v>0</v>
      </c>
      <c r="E24" s="943"/>
      <c r="F24" s="943"/>
      <c r="G24" s="943"/>
      <c r="H24" s="943"/>
      <c r="I24" s="943"/>
      <c r="J24" s="952"/>
      <c r="K24" s="952">
        <f t="shared" si="1"/>
        <v>0</v>
      </c>
      <c r="L24" s="962"/>
      <c r="M24" s="962"/>
      <c r="N24" s="962"/>
      <c r="O24" s="962"/>
      <c r="P24" s="962"/>
      <c r="Q24" s="962"/>
      <c r="R24" s="962"/>
      <c r="S24" s="962"/>
      <c r="T24" s="962"/>
      <c r="U24" s="969"/>
      <c r="V24" s="962"/>
      <c r="W24" s="962"/>
      <c r="X24" s="962"/>
      <c r="Y24" s="962"/>
      <c r="Z24" s="962"/>
      <c r="AA24" s="962"/>
      <c r="AB24" s="962"/>
      <c r="AC24" s="962"/>
    </row>
    <row r="25" spans="2:29" ht="15.75" x14ac:dyDescent="0.2">
      <c r="B25" s="941"/>
      <c r="C25" s="955" t="s">
        <v>810</v>
      </c>
      <c r="D25" s="943">
        <f t="shared" si="0"/>
        <v>69055</v>
      </c>
      <c r="E25" s="943"/>
      <c r="F25" s="943"/>
      <c r="G25" s="943"/>
      <c r="H25" s="943"/>
      <c r="I25" s="943"/>
      <c r="J25" s="952"/>
      <c r="K25" s="952">
        <f t="shared" si="1"/>
        <v>69055</v>
      </c>
      <c r="L25" s="962"/>
      <c r="M25" s="962">
        <v>10000</v>
      </c>
      <c r="N25" s="962">
        <v>59055</v>
      </c>
      <c r="O25" s="962"/>
      <c r="P25" s="962"/>
      <c r="Q25" s="962"/>
      <c r="R25" s="962"/>
      <c r="S25" s="962"/>
      <c r="T25" s="962"/>
      <c r="U25" s="969"/>
      <c r="V25" s="962"/>
      <c r="W25" s="962"/>
      <c r="X25" s="962"/>
      <c r="Y25" s="962"/>
      <c r="Z25" s="962"/>
      <c r="AA25" s="962"/>
      <c r="AB25" s="962"/>
      <c r="AC25" s="962"/>
    </row>
    <row r="26" spans="2:29" ht="15.75" x14ac:dyDescent="0.2">
      <c r="B26" s="941"/>
      <c r="C26" s="955" t="s">
        <v>811</v>
      </c>
      <c r="D26" s="943">
        <f t="shared" si="0"/>
        <v>4517327</v>
      </c>
      <c r="E26" s="943"/>
      <c r="F26" s="943"/>
      <c r="G26" s="943"/>
      <c r="H26" s="943"/>
      <c r="I26" s="943"/>
      <c r="J26" s="952"/>
      <c r="K26" s="952">
        <f t="shared" si="1"/>
        <v>4517327</v>
      </c>
      <c r="L26" s="962"/>
      <c r="M26" s="962">
        <v>44856</v>
      </c>
      <c r="N26" s="962">
        <v>4472471</v>
      </c>
      <c r="O26" s="962"/>
      <c r="P26" s="962"/>
      <c r="Q26" s="962"/>
      <c r="R26" s="962"/>
      <c r="S26" s="962"/>
      <c r="T26" s="962"/>
      <c r="U26" s="969"/>
      <c r="V26" s="962"/>
      <c r="W26" s="962"/>
      <c r="X26" s="962"/>
      <c r="Y26" s="962"/>
      <c r="Z26" s="962"/>
      <c r="AA26" s="962"/>
      <c r="AB26" s="962"/>
      <c r="AC26" s="962"/>
    </row>
    <row r="27" spans="2:29" ht="15.75" x14ac:dyDescent="0.2">
      <c r="B27" s="941"/>
      <c r="C27" s="955" t="s">
        <v>812</v>
      </c>
      <c r="D27" s="943">
        <f t="shared" si="0"/>
        <v>0</v>
      </c>
      <c r="E27" s="943"/>
      <c r="F27" s="943"/>
      <c r="G27" s="943"/>
      <c r="H27" s="943"/>
      <c r="I27" s="943"/>
      <c r="J27" s="952"/>
      <c r="K27" s="952">
        <f t="shared" si="1"/>
        <v>0</v>
      </c>
      <c r="L27" s="962"/>
      <c r="M27" s="962"/>
      <c r="N27" s="962"/>
      <c r="O27" s="962"/>
      <c r="P27" s="962"/>
      <c r="Q27" s="962"/>
      <c r="R27" s="962"/>
      <c r="S27" s="962"/>
      <c r="T27" s="962"/>
      <c r="U27" s="969"/>
      <c r="V27" s="962"/>
      <c r="W27" s="962"/>
      <c r="X27" s="962"/>
      <c r="Y27" s="962"/>
      <c r="Z27" s="962"/>
      <c r="AA27" s="962"/>
      <c r="AB27" s="962"/>
      <c r="AC27" s="962"/>
    </row>
    <row r="28" spans="2:29" ht="15.75" x14ac:dyDescent="0.2">
      <c r="B28" s="941"/>
      <c r="C28" s="955" t="s">
        <v>813</v>
      </c>
      <c r="D28" s="943">
        <f t="shared" si="0"/>
        <v>2038965</v>
      </c>
      <c r="E28" s="943"/>
      <c r="F28" s="943"/>
      <c r="G28" s="943"/>
      <c r="H28" s="943"/>
      <c r="I28" s="943"/>
      <c r="J28" s="952"/>
      <c r="K28" s="952">
        <f t="shared" si="1"/>
        <v>2038965</v>
      </c>
      <c r="L28" s="962"/>
      <c r="M28" s="962">
        <v>66689</v>
      </c>
      <c r="N28" s="962">
        <v>1972276</v>
      </c>
      <c r="O28" s="962"/>
      <c r="P28" s="962"/>
      <c r="Q28" s="962"/>
      <c r="R28" s="962"/>
      <c r="S28" s="962"/>
      <c r="T28" s="962"/>
      <c r="U28" s="969"/>
      <c r="V28" s="962"/>
      <c r="W28" s="962"/>
      <c r="X28" s="962"/>
      <c r="Y28" s="962"/>
      <c r="Z28" s="962"/>
      <c r="AA28" s="962"/>
      <c r="AB28" s="962"/>
      <c r="AC28" s="962"/>
    </row>
    <row r="29" spans="2:29" ht="15.75" x14ac:dyDescent="0.2">
      <c r="B29" s="941"/>
      <c r="C29" s="955" t="s">
        <v>814</v>
      </c>
      <c r="D29" s="943">
        <f t="shared" si="0"/>
        <v>0</v>
      </c>
      <c r="E29" s="943"/>
      <c r="F29" s="943"/>
      <c r="G29" s="943"/>
      <c r="H29" s="943"/>
      <c r="I29" s="943"/>
      <c r="J29" s="952"/>
      <c r="K29" s="952">
        <f t="shared" si="1"/>
        <v>0</v>
      </c>
      <c r="L29" s="962"/>
      <c r="M29" s="962"/>
      <c r="N29" s="962"/>
      <c r="O29" s="962"/>
      <c r="P29" s="962"/>
      <c r="Q29" s="962"/>
      <c r="R29" s="962"/>
      <c r="S29" s="962"/>
      <c r="T29" s="962"/>
      <c r="U29" s="969"/>
      <c r="V29" s="962"/>
      <c r="W29" s="962"/>
      <c r="X29" s="962"/>
      <c r="Y29" s="962"/>
      <c r="Z29" s="962"/>
      <c r="AA29" s="962"/>
      <c r="AB29" s="962"/>
      <c r="AC29" s="962"/>
    </row>
    <row r="30" spans="2:29" ht="15.75" x14ac:dyDescent="0.2">
      <c r="B30" s="941"/>
      <c r="C30" s="955" t="s">
        <v>820</v>
      </c>
      <c r="D30" s="943">
        <f t="shared" si="0"/>
        <v>0</v>
      </c>
      <c r="E30" s="943"/>
      <c r="F30" s="943"/>
      <c r="G30" s="943"/>
      <c r="H30" s="943"/>
      <c r="I30" s="943"/>
      <c r="J30" s="952"/>
      <c r="K30" s="952">
        <f t="shared" si="1"/>
        <v>0</v>
      </c>
      <c r="L30" s="962"/>
      <c r="M30" s="962"/>
      <c r="N30" s="962"/>
      <c r="O30" s="962"/>
      <c r="P30" s="962"/>
      <c r="Q30" s="962"/>
      <c r="R30" s="962"/>
      <c r="S30" s="962"/>
      <c r="T30" s="962"/>
      <c r="U30" s="969"/>
      <c r="V30" s="962"/>
      <c r="W30" s="962"/>
      <c r="X30" s="962"/>
      <c r="Y30" s="962"/>
      <c r="Z30" s="962"/>
      <c r="AA30" s="962"/>
      <c r="AB30" s="962"/>
      <c r="AC30" s="962"/>
    </row>
    <row r="31" spans="2:29" ht="15.75" x14ac:dyDescent="0.2">
      <c r="B31" s="941"/>
      <c r="C31" s="955" t="s">
        <v>821</v>
      </c>
      <c r="D31" s="943">
        <f t="shared" si="0"/>
        <v>18213</v>
      </c>
      <c r="E31" s="943"/>
      <c r="F31" s="943"/>
      <c r="G31" s="943"/>
      <c r="H31" s="943"/>
      <c r="I31" s="943"/>
      <c r="J31" s="952"/>
      <c r="K31" s="952">
        <f t="shared" si="1"/>
        <v>18213</v>
      </c>
      <c r="L31" s="962"/>
      <c r="M31" s="962">
        <v>18213</v>
      </c>
      <c r="N31" s="962"/>
      <c r="O31" s="962"/>
      <c r="P31" s="962"/>
      <c r="Q31" s="962"/>
      <c r="R31" s="962"/>
      <c r="S31" s="962"/>
      <c r="T31" s="962"/>
      <c r="U31" s="969"/>
      <c r="V31" s="962"/>
      <c r="W31" s="962"/>
      <c r="X31" s="962"/>
      <c r="Y31" s="962"/>
      <c r="Z31" s="962"/>
      <c r="AA31" s="962"/>
      <c r="AB31" s="962"/>
      <c r="AC31" s="962"/>
    </row>
    <row r="32" spans="2:29" ht="15.75" x14ac:dyDescent="0.2">
      <c r="B32" s="941"/>
      <c r="C32" s="955" t="s">
        <v>815</v>
      </c>
      <c r="D32" s="943">
        <f t="shared" si="0"/>
        <v>6</v>
      </c>
      <c r="E32" s="943"/>
      <c r="F32" s="943"/>
      <c r="G32" s="943"/>
      <c r="H32" s="943"/>
      <c r="I32" s="943"/>
      <c r="J32" s="952"/>
      <c r="K32" s="952">
        <f t="shared" si="1"/>
        <v>6</v>
      </c>
      <c r="L32" s="962"/>
      <c r="M32" s="962">
        <v>6</v>
      </c>
      <c r="N32" s="962"/>
      <c r="O32" s="962"/>
      <c r="P32" s="962"/>
      <c r="Q32" s="962"/>
      <c r="R32" s="962"/>
      <c r="S32" s="962"/>
      <c r="T32" s="962"/>
      <c r="U32" s="969"/>
      <c r="V32" s="962"/>
      <c r="W32" s="962"/>
      <c r="X32" s="962"/>
      <c r="Y32" s="962"/>
      <c r="Z32" s="962"/>
      <c r="AA32" s="962"/>
      <c r="AB32" s="962"/>
      <c r="AC32" s="962"/>
    </row>
    <row r="33" spans="2:29" ht="15.75" x14ac:dyDescent="0.2">
      <c r="B33" s="941"/>
      <c r="C33" s="947" t="s">
        <v>816</v>
      </c>
      <c r="D33" s="948">
        <f t="shared" ref="D33:K33" si="2">SUM(D13:D32)</f>
        <v>9684107.9921259843</v>
      </c>
      <c r="E33" s="948">
        <f t="shared" si="2"/>
        <v>0</v>
      </c>
      <c r="F33" s="948">
        <f t="shared" si="2"/>
        <v>0</v>
      </c>
      <c r="G33" s="948">
        <f t="shared" si="2"/>
        <v>0</v>
      </c>
      <c r="H33" s="948">
        <f t="shared" si="2"/>
        <v>0</v>
      </c>
      <c r="I33" s="948">
        <f t="shared" si="2"/>
        <v>0</v>
      </c>
      <c r="J33" s="948">
        <f t="shared" si="2"/>
        <v>0</v>
      </c>
      <c r="K33" s="948">
        <f t="shared" si="2"/>
        <v>9684107.9921259843</v>
      </c>
      <c r="L33" s="962"/>
      <c r="M33" s="962"/>
      <c r="N33" s="962"/>
      <c r="O33" s="962"/>
      <c r="P33" s="962"/>
      <c r="Q33" s="962"/>
      <c r="R33" s="962"/>
      <c r="S33" s="962"/>
      <c r="T33" s="962"/>
      <c r="U33" s="969"/>
      <c r="V33" s="962"/>
      <c r="W33" s="962"/>
      <c r="X33" s="962"/>
      <c r="Y33" s="962"/>
      <c r="Z33" s="962"/>
      <c r="AA33" s="962"/>
      <c r="AB33" s="962"/>
      <c r="AC33" s="962"/>
    </row>
    <row r="34" spans="2:29" x14ac:dyDescent="0.2">
      <c r="L34" s="962"/>
      <c r="M34" s="962"/>
      <c r="N34" s="962"/>
      <c r="O34" s="962"/>
      <c r="P34" s="962"/>
      <c r="Q34" s="962"/>
      <c r="R34" s="962"/>
      <c r="S34" s="962"/>
      <c r="T34" s="962"/>
      <c r="U34" s="969"/>
      <c r="V34" s="962"/>
      <c r="W34" s="962"/>
      <c r="X34" s="962"/>
      <c r="Y34" s="962"/>
      <c r="Z34" s="962"/>
      <c r="AA34" s="962"/>
      <c r="AB34" s="962"/>
      <c r="AC34" s="962"/>
    </row>
    <row r="35" spans="2:29" x14ac:dyDescent="0.2">
      <c r="L35" s="962"/>
      <c r="M35" s="962"/>
      <c r="N35" s="962"/>
      <c r="O35" s="962"/>
      <c r="P35" s="962"/>
      <c r="Q35" s="962"/>
      <c r="R35" s="962"/>
      <c r="S35" s="962"/>
      <c r="T35" s="962"/>
      <c r="U35" s="969"/>
      <c r="V35" s="962"/>
      <c r="W35" s="962"/>
      <c r="X35" s="962"/>
      <c r="Y35" s="962"/>
      <c r="Z35" s="962"/>
      <c r="AA35" s="962"/>
      <c r="AB35" s="962"/>
      <c r="AC35" s="962"/>
    </row>
    <row r="36" spans="2:29" x14ac:dyDescent="0.2">
      <c r="L36" s="962"/>
      <c r="M36" s="962"/>
      <c r="N36" s="962"/>
      <c r="O36" s="962"/>
      <c r="P36" s="962"/>
      <c r="Q36" s="962"/>
      <c r="R36" s="962"/>
      <c r="S36" s="962"/>
      <c r="T36" s="962"/>
      <c r="U36" s="972"/>
      <c r="V36" s="962"/>
      <c r="W36" s="962"/>
      <c r="X36" s="962"/>
      <c r="Y36" s="962"/>
      <c r="Z36" s="962"/>
      <c r="AA36" s="962"/>
      <c r="AB36" s="962"/>
      <c r="AC36" s="962"/>
    </row>
    <row r="37" spans="2:29" x14ac:dyDescent="0.2">
      <c r="B37" s="1165"/>
      <c r="C37" s="1166" t="s">
        <v>262</v>
      </c>
      <c r="D37" s="1165" t="s">
        <v>722</v>
      </c>
      <c r="E37" s="1165"/>
      <c r="F37" s="1165"/>
      <c r="G37" s="1165"/>
      <c r="H37" s="1165"/>
      <c r="I37" s="1165"/>
      <c r="J37" s="1165"/>
      <c r="K37" s="1165"/>
      <c r="L37" s="962"/>
      <c r="M37" s="962"/>
      <c r="N37" s="962"/>
      <c r="O37" s="962"/>
      <c r="P37" s="962"/>
      <c r="Q37" s="962"/>
      <c r="R37" s="962"/>
      <c r="S37" s="962"/>
      <c r="T37" s="962"/>
      <c r="U37" s="962"/>
      <c r="V37" s="962"/>
      <c r="W37" s="962"/>
      <c r="X37" s="962"/>
      <c r="Y37" s="962"/>
      <c r="Z37" s="962"/>
      <c r="AA37" s="962"/>
      <c r="AB37" s="962"/>
      <c r="AC37" s="962"/>
    </row>
    <row r="38" spans="2:29" x14ac:dyDescent="0.2">
      <c r="B38" s="1165"/>
      <c r="C38" s="1167"/>
      <c r="D38" s="1165" t="s">
        <v>824</v>
      </c>
      <c r="E38" s="1165"/>
      <c r="F38" s="1165"/>
      <c r="G38" s="1165"/>
      <c r="H38" s="1165"/>
      <c r="I38" s="1165"/>
      <c r="J38" s="1165"/>
      <c r="K38" s="1165"/>
      <c r="L38" s="962"/>
      <c r="M38" s="962"/>
      <c r="N38" s="962"/>
      <c r="O38" s="962"/>
      <c r="P38" s="962"/>
      <c r="Q38" s="962"/>
      <c r="R38" s="962"/>
      <c r="S38" s="962"/>
      <c r="T38" s="962"/>
      <c r="U38" s="962"/>
      <c r="V38" s="962"/>
      <c r="W38" s="962"/>
      <c r="X38" s="962"/>
      <c r="Y38" s="962"/>
      <c r="Z38" s="962"/>
      <c r="AA38" s="962"/>
      <c r="AB38" s="962"/>
      <c r="AC38" s="962"/>
    </row>
    <row r="39" spans="2:29" ht="60" customHeight="1" x14ac:dyDescent="0.25">
      <c r="B39" s="1165"/>
      <c r="C39" s="1168"/>
      <c r="D39" s="950" t="s">
        <v>781</v>
      </c>
      <c r="E39" s="951"/>
      <c r="F39" s="951"/>
      <c r="G39" s="951"/>
      <c r="H39" s="951"/>
      <c r="I39" s="951"/>
      <c r="J39" s="951"/>
      <c r="K39" s="951" t="s">
        <v>852</v>
      </c>
      <c r="L39" s="962"/>
      <c r="M39" s="962"/>
      <c r="N39" s="962"/>
      <c r="O39" s="962"/>
      <c r="P39" s="962"/>
      <c r="Q39" s="962"/>
      <c r="R39" s="962"/>
      <c r="S39" s="962"/>
      <c r="T39" s="962"/>
      <c r="U39" s="962"/>
      <c r="V39" s="962"/>
      <c r="W39" s="962"/>
      <c r="X39" s="962"/>
      <c r="Y39" s="962"/>
      <c r="Z39" s="962"/>
      <c r="AA39" s="962"/>
      <c r="AB39" s="962"/>
      <c r="AC39" s="962"/>
    </row>
    <row r="40" spans="2:29" ht="15.75" x14ac:dyDescent="0.2">
      <c r="B40" s="941"/>
      <c r="C40" s="955" t="s">
        <v>825</v>
      </c>
      <c r="D40" s="943">
        <f>SUM(E40:K40)</f>
        <v>0</v>
      </c>
      <c r="E40" s="943"/>
      <c r="F40" s="943"/>
      <c r="G40" s="943"/>
      <c r="H40" s="943"/>
      <c r="I40" s="943"/>
      <c r="J40" s="952"/>
      <c r="K40" s="952">
        <f t="shared" ref="K40:K45" si="3">M40+N40</f>
        <v>0</v>
      </c>
      <c r="L40" s="962"/>
      <c r="M40" s="962"/>
      <c r="N40" s="962"/>
      <c r="O40" s="962"/>
      <c r="P40" s="962"/>
      <c r="Q40" s="962"/>
      <c r="R40" s="962"/>
      <c r="S40" s="962"/>
      <c r="T40" s="962"/>
      <c r="U40" s="962"/>
      <c r="V40" s="962"/>
      <c r="W40" s="962"/>
      <c r="X40" s="962"/>
      <c r="Y40" s="962"/>
      <c r="Z40" s="962"/>
      <c r="AA40" s="962"/>
      <c r="AB40" s="962"/>
      <c r="AC40" s="962"/>
    </row>
    <row r="41" spans="2:29" ht="15.75" x14ac:dyDescent="0.2">
      <c r="B41" s="941"/>
      <c r="C41" s="955" t="s">
        <v>826</v>
      </c>
      <c r="D41" s="943">
        <f t="shared" ref="D41:D51" si="4">SUM(E41:K41)</f>
        <v>0</v>
      </c>
      <c r="E41" s="943"/>
      <c r="F41" s="943"/>
      <c r="G41" s="943"/>
      <c r="H41" s="943"/>
      <c r="I41" s="943"/>
      <c r="J41" s="952"/>
      <c r="K41" s="952">
        <f t="shared" si="3"/>
        <v>0</v>
      </c>
      <c r="L41" s="962"/>
      <c r="M41" s="962"/>
      <c r="N41" s="962"/>
      <c r="O41" s="962"/>
      <c r="P41" s="962"/>
      <c r="Q41" s="962"/>
      <c r="R41" s="962"/>
      <c r="S41" s="962"/>
      <c r="T41" s="962"/>
      <c r="U41" s="962"/>
      <c r="V41" s="962"/>
      <c r="W41" s="962"/>
      <c r="X41" s="962"/>
      <c r="Y41" s="962"/>
      <c r="Z41" s="962"/>
      <c r="AA41" s="962"/>
      <c r="AB41" s="962"/>
      <c r="AC41" s="962"/>
    </row>
    <row r="42" spans="2:29" ht="15.75" x14ac:dyDescent="0.2">
      <c r="B42" s="941"/>
      <c r="C42" s="955" t="s">
        <v>828</v>
      </c>
      <c r="D42" s="943">
        <f t="shared" si="4"/>
        <v>0</v>
      </c>
      <c r="E42" s="943"/>
      <c r="F42" s="943"/>
      <c r="G42" s="943"/>
      <c r="H42" s="943"/>
      <c r="I42" s="943"/>
      <c r="J42" s="952"/>
      <c r="K42" s="952">
        <f t="shared" si="3"/>
        <v>0</v>
      </c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</row>
    <row r="43" spans="2:29" ht="15.75" x14ac:dyDescent="0.2">
      <c r="B43" s="941"/>
      <c r="C43" s="955" t="s">
        <v>827</v>
      </c>
      <c r="D43" s="943">
        <f t="shared" si="4"/>
        <v>669291</v>
      </c>
      <c r="E43" s="943"/>
      <c r="F43" s="943"/>
      <c r="G43" s="943"/>
      <c r="H43" s="943"/>
      <c r="I43" s="943"/>
      <c r="J43" s="952"/>
      <c r="K43" s="952">
        <f t="shared" si="3"/>
        <v>669291</v>
      </c>
      <c r="L43" s="962"/>
      <c r="M43" s="962"/>
      <c r="N43" s="962">
        <v>669291</v>
      </c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</row>
    <row r="44" spans="2:29" ht="15.75" x14ac:dyDescent="0.2">
      <c r="B44" s="941"/>
      <c r="C44" s="955" t="s">
        <v>829</v>
      </c>
      <c r="D44" s="943">
        <f t="shared" si="4"/>
        <v>0</v>
      </c>
      <c r="E44" s="943"/>
      <c r="F44" s="943"/>
      <c r="G44" s="943"/>
      <c r="H44" s="943"/>
      <c r="I44" s="943"/>
      <c r="J44" s="952"/>
      <c r="K44" s="952">
        <f t="shared" si="3"/>
        <v>0</v>
      </c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962"/>
      <c r="AB44" s="962"/>
      <c r="AC44" s="962"/>
    </row>
    <row r="45" spans="2:29" ht="15.75" x14ac:dyDescent="0.2">
      <c r="B45" s="941"/>
      <c r="C45" s="955" t="s">
        <v>830</v>
      </c>
      <c r="D45" s="943">
        <f t="shared" si="4"/>
        <v>0</v>
      </c>
      <c r="E45" s="943"/>
      <c r="F45" s="943"/>
      <c r="G45" s="943"/>
      <c r="H45" s="943"/>
      <c r="I45" s="943"/>
      <c r="J45" s="952"/>
      <c r="K45" s="952">
        <f t="shared" si="3"/>
        <v>0</v>
      </c>
      <c r="L45" s="962"/>
      <c r="M45" s="962"/>
      <c r="N45" s="962"/>
      <c r="O45" s="962"/>
      <c r="P45" s="962"/>
      <c r="Q45" s="962"/>
      <c r="R45" s="962"/>
      <c r="S45" s="962"/>
      <c r="T45" s="962"/>
      <c r="U45" s="962"/>
      <c r="V45" s="962"/>
      <c r="W45" s="962"/>
      <c r="X45" s="962"/>
      <c r="Y45" s="962"/>
      <c r="Z45" s="962"/>
      <c r="AA45" s="962"/>
      <c r="AB45" s="962"/>
      <c r="AC45" s="962"/>
    </row>
    <row r="46" spans="2:29" ht="15.75" x14ac:dyDescent="0.2">
      <c r="B46" s="941"/>
      <c r="C46" s="955" t="s">
        <v>831</v>
      </c>
      <c r="D46" s="943">
        <f t="shared" si="4"/>
        <v>180709</v>
      </c>
      <c r="E46" s="943"/>
      <c r="F46" s="943"/>
      <c r="G46" s="943"/>
      <c r="H46" s="943"/>
      <c r="I46" s="943"/>
      <c r="J46" s="952"/>
      <c r="K46" s="952">
        <f>M46+N46</f>
        <v>180709</v>
      </c>
      <c r="N46" s="962">
        <v>180709</v>
      </c>
    </row>
    <row r="47" spans="2:29" s="958" customFormat="1" ht="15.75" x14ac:dyDescent="0.2">
      <c r="B47" s="956"/>
      <c r="C47" s="957" t="s">
        <v>853</v>
      </c>
      <c r="D47" s="948">
        <f>SUM(D40:D46)</f>
        <v>850000</v>
      </c>
      <c r="E47" s="948">
        <f t="shared" ref="E47:K47" si="5">SUM(E40:E46)</f>
        <v>0</v>
      </c>
      <c r="F47" s="948">
        <f t="shared" si="5"/>
        <v>0</v>
      </c>
      <c r="G47" s="948">
        <f t="shared" si="5"/>
        <v>0</v>
      </c>
      <c r="H47" s="948">
        <f t="shared" si="5"/>
        <v>0</v>
      </c>
      <c r="I47" s="948">
        <f t="shared" si="5"/>
        <v>0</v>
      </c>
      <c r="J47" s="948">
        <f t="shared" si="5"/>
        <v>0</v>
      </c>
      <c r="K47" s="948">
        <f t="shared" si="5"/>
        <v>850000</v>
      </c>
      <c r="N47" s="962"/>
    </row>
    <row r="48" spans="2:29" ht="15.75" x14ac:dyDescent="0.2">
      <c r="B48" s="941"/>
      <c r="C48" s="955" t="s">
        <v>832</v>
      </c>
      <c r="D48" s="943">
        <f t="shared" si="4"/>
        <v>0</v>
      </c>
      <c r="E48" s="943"/>
      <c r="F48" s="943"/>
      <c r="G48" s="943"/>
      <c r="H48" s="943"/>
      <c r="I48" s="943"/>
      <c r="J48" s="952"/>
      <c r="K48" s="952"/>
      <c r="N48" s="962"/>
    </row>
    <row r="49" spans="2:14" ht="15.75" x14ac:dyDescent="0.2">
      <c r="B49" s="941"/>
      <c r="C49" s="955" t="s">
        <v>833</v>
      </c>
      <c r="D49" s="943">
        <f t="shared" si="4"/>
        <v>0</v>
      </c>
      <c r="E49" s="943"/>
      <c r="F49" s="943"/>
      <c r="G49" s="943"/>
      <c r="H49" s="943"/>
      <c r="I49" s="943"/>
      <c r="J49" s="952"/>
      <c r="K49" s="952"/>
      <c r="N49" s="962"/>
    </row>
    <row r="50" spans="2:14" ht="15.75" x14ac:dyDescent="0.2">
      <c r="B50" s="941"/>
      <c r="C50" s="955" t="s">
        <v>834</v>
      </c>
      <c r="D50" s="943">
        <f t="shared" si="4"/>
        <v>0</v>
      </c>
      <c r="E50" s="943"/>
      <c r="F50" s="943"/>
      <c r="G50" s="943"/>
      <c r="H50" s="943"/>
      <c r="I50" s="943"/>
      <c r="J50" s="952"/>
      <c r="K50" s="952"/>
      <c r="N50" s="962"/>
    </row>
    <row r="51" spans="2:14" ht="15.75" x14ac:dyDescent="0.2">
      <c r="B51" s="941"/>
      <c r="C51" s="955" t="s">
        <v>835</v>
      </c>
      <c r="D51" s="943">
        <f t="shared" si="4"/>
        <v>0</v>
      </c>
      <c r="E51" s="943"/>
      <c r="F51" s="943"/>
      <c r="G51" s="943"/>
      <c r="H51" s="943"/>
      <c r="I51" s="943"/>
      <c r="J51" s="952"/>
      <c r="K51" s="952"/>
      <c r="N51" s="962"/>
    </row>
    <row r="52" spans="2:14" s="958" customFormat="1" ht="15.75" x14ac:dyDescent="0.2">
      <c r="B52" s="956"/>
      <c r="C52" s="957" t="s">
        <v>822</v>
      </c>
      <c r="D52" s="948">
        <f>SUM(D48:D51)</f>
        <v>0</v>
      </c>
      <c r="E52" s="948">
        <f t="shared" ref="E52:K52" si="6">SUM(E48:E51)</f>
        <v>0</v>
      </c>
      <c r="F52" s="948">
        <f t="shared" si="6"/>
        <v>0</v>
      </c>
      <c r="G52" s="948">
        <f t="shared" si="6"/>
        <v>0</v>
      </c>
      <c r="H52" s="948">
        <f t="shared" si="6"/>
        <v>0</v>
      </c>
      <c r="I52" s="948">
        <f t="shared" si="6"/>
        <v>0</v>
      </c>
      <c r="J52" s="948">
        <f t="shared" si="6"/>
        <v>0</v>
      </c>
      <c r="K52" s="948">
        <f t="shared" si="6"/>
        <v>0</v>
      </c>
      <c r="N52" s="962"/>
    </row>
    <row r="53" spans="2:14" x14ac:dyDescent="0.2">
      <c r="D53" s="958"/>
      <c r="N53" s="962"/>
    </row>
    <row r="54" spans="2:14" x14ac:dyDescent="0.2">
      <c r="N54" s="962"/>
    </row>
    <row r="55" spans="2:14" x14ac:dyDescent="0.2">
      <c r="N55" s="962"/>
    </row>
    <row r="56" spans="2:14" x14ac:dyDescent="0.2">
      <c r="N56" s="962"/>
    </row>
  </sheetData>
  <mergeCells count="8">
    <mergeCell ref="B10:B12"/>
    <mergeCell ref="C10:C12"/>
    <mergeCell ref="D10:K10"/>
    <mergeCell ref="D11:K11"/>
    <mergeCell ref="B37:B39"/>
    <mergeCell ref="C37:C39"/>
    <mergeCell ref="D37:K37"/>
    <mergeCell ref="D38:K38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4F17-AE33-43C3-B449-56E30105D7EB}">
  <dimension ref="A1:G65"/>
  <sheetViews>
    <sheetView topLeftCell="A19" workbookViewId="0">
      <selection sqref="A1:XFD1048576"/>
    </sheetView>
  </sheetViews>
  <sheetFormatPr defaultRowHeight="12.75" x14ac:dyDescent="0.2"/>
  <cols>
    <col min="1" max="1" width="6.83203125" style="320" customWidth="1"/>
    <col min="2" max="2" width="66.83203125" style="321" customWidth="1"/>
    <col min="3" max="3" width="8.1640625" style="321" customWidth="1"/>
    <col min="4" max="6" width="16.33203125" style="248" customWidth="1"/>
    <col min="7" max="7" width="10.6640625" style="974" bestFit="1" customWidth="1"/>
    <col min="8" max="243" width="9.33203125" style="248"/>
    <col min="244" max="244" width="6.83203125" style="248" customWidth="1"/>
    <col min="245" max="245" width="60.1640625" style="248" customWidth="1"/>
    <col min="246" max="246" width="8.1640625" style="248" customWidth="1"/>
    <col min="247" max="249" width="14.5" style="248" customWidth="1"/>
    <col min="250" max="499" width="9.33203125" style="248"/>
    <col min="500" max="500" width="6.83203125" style="248" customWidth="1"/>
    <col min="501" max="501" width="60.1640625" style="248" customWidth="1"/>
    <col min="502" max="502" width="8.1640625" style="248" customWidth="1"/>
    <col min="503" max="505" width="14.5" style="248" customWidth="1"/>
    <col min="506" max="755" width="9.33203125" style="248"/>
    <col min="756" max="756" width="6.83203125" style="248" customWidth="1"/>
    <col min="757" max="757" width="60.1640625" style="248" customWidth="1"/>
    <col min="758" max="758" width="8.1640625" style="248" customWidth="1"/>
    <col min="759" max="761" width="14.5" style="248" customWidth="1"/>
    <col min="762" max="1011" width="9.33203125" style="248"/>
    <col min="1012" max="1012" width="6.83203125" style="248" customWidth="1"/>
    <col min="1013" max="1013" width="60.1640625" style="248" customWidth="1"/>
    <col min="1014" max="1014" width="8.1640625" style="248" customWidth="1"/>
    <col min="1015" max="1017" width="14.5" style="248" customWidth="1"/>
    <col min="1018" max="1267" width="9.33203125" style="248"/>
    <col min="1268" max="1268" width="6.83203125" style="248" customWidth="1"/>
    <col min="1269" max="1269" width="60.1640625" style="248" customWidth="1"/>
    <col min="1270" max="1270" width="8.1640625" style="248" customWidth="1"/>
    <col min="1271" max="1273" width="14.5" style="248" customWidth="1"/>
    <col min="1274" max="1523" width="9.33203125" style="248"/>
    <col min="1524" max="1524" width="6.83203125" style="248" customWidth="1"/>
    <col min="1525" max="1525" width="60.1640625" style="248" customWidth="1"/>
    <col min="1526" max="1526" width="8.1640625" style="248" customWidth="1"/>
    <col min="1527" max="1529" width="14.5" style="248" customWidth="1"/>
    <col min="1530" max="1779" width="9.33203125" style="248"/>
    <col min="1780" max="1780" width="6.83203125" style="248" customWidth="1"/>
    <col min="1781" max="1781" width="60.1640625" style="248" customWidth="1"/>
    <col min="1782" max="1782" width="8.1640625" style="248" customWidth="1"/>
    <col min="1783" max="1785" width="14.5" style="248" customWidth="1"/>
    <col min="1786" max="2035" width="9.33203125" style="248"/>
    <col min="2036" max="2036" width="6.83203125" style="248" customWidth="1"/>
    <col min="2037" max="2037" width="60.1640625" style="248" customWidth="1"/>
    <col min="2038" max="2038" width="8.1640625" style="248" customWidth="1"/>
    <col min="2039" max="2041" width="14.5" style="248" customWidth="1"/>
    <col min="2042" max="2291" width="9.33203125" style="248"/>
    <col min="2292" max="2292" width="6.83203125" style="248" customWidth="1"/>
    <col min="2293" max="2293" width="60.1640625" style="248" customWidth="1"/>
    <col min="2294" max="2294" width="8.1640625" style="248" customWidth="1"/>
    <col min="2295" max="2297" width="14.5" style="248" customWidth="1"/>
    <col min="2298" max="2547" width="9.33203125" style="248"/>
    <col min="2548" max="2548" width="6.83203125" style="248" customWidth="1"/>
    <col min="2549" max="2549" width="60.1640625" style="248" customWidth="1"/>
    <col min="2550" max="2550" width="8.1640625" style="248" customWidth="1"/>
    <col min="2551" max="2553" width="14.5" style="248" customWidth="1"/>
    <col min="2554" max="2803" width="9.33203125" style="248"/>
    <col min="2804" max="2804" width="6.83203125" style="248" customWidth="1"/>
    <col min="2805" max="2805" width="60.1640625" style="248" customWidth="1"/>
    <col min="2806" max="2806" width="8.1640625" style="248" customWidth="1"/>
    <col min="2807" max="2809" width="14.5" style="248" customWidth="1"/>
    <col min="2810" max="3059" width="9.33203125" style="248"/>
    <col min="3060" max="3060" width="6.83203125" style="248" customWidth="1"/>
    <col min="3061" max="3061" width="60.1640625" style="248" customWidth="1"/>
    <col min="3062" max="3062" width="8.1640625" style="248" customWidth="1"/>
    <col min="3063" max="3065" width="14.5" style="248" customWidth="1"/>
    <col min="3066" max="3315" width="9.33203125" style="248"/>
    <col min="3316" max="3316" width="6.83203125" style="248" customWidth="1"/>
    <col min="3317" max="3317" width="60.1640625" style="248" customWidth="1"/>
    <col min="3318" max="3318" width="8.1640625" style="248" customWidth="1"/>
    <col min="3319" max="3321" width="14.5" style="248" customWidth="1"/>
    <col min="3322" max="3571" width="9.33203125" style="248"/>
    <col min="3572" max="3572" width="6.83203125" style="248" customWidth="1"/>
    <col min="3573" max="3573" width="60.1640625" style="248" customWidth="1"/>
    <col min="3574" max="3574" width="8.1640625" style="248" customWidth="1"/>
    <col min="3575" max="3577" width="14.5" style="248" customWidth="1"/>
    <col min="3578" max="3827" width="9.33203125" style="248"/>
    <col min="3828" max="3828" width="6.83203125" style="248" customWidth="1"/>
    <col min="3829" max="3829" width="60.1640625" style="248" customWidth="1"/>
    <col min="3830" max="3830" width="8.1640625" style="248" customWidth="1"/>
    <col min="3831" max="3833" width="14.5" style="248" customWidth="1"/>
    <col min="3834" max="4083" width="9.33203125" style="248"/>
    <col min="4084" max="4084" width="6.83203125" style="248" customWidth="1"/>
    <col min="4085" max="4085" width="60.1640625" style="248" customWidth="1"/>
    <col min="4086" max="4086" width="8.1640625" style="248" customWidth="1"/>
    <col min="4087" max="4089" width="14.5" style="248" customWidth="1"/>
    <col min="4090" max="4339" width="9.33203125" style="248"/>
    <col min="4340" max="4340" width="6.83203125" style="248" customWidth="1"/>
    <col min="4341" max="4341" width="60.1640625" style="248" customWidth="1"/>
    <col min="4342" max="4342" width="8.1640625" style="248" customWidth="1"/>
    <col min="4343" max="4345" width="14.5" style="248" customWidth="1"/>
    <col min="4346" max="4595" width="9.33203125" style="248"/>
    <col min="4596" max="4596" width="6.83203125" style="248" customWidth="1"/>
    <col min="4597" max="4597" width="60.1640625" style="248" customWidth="1"/>
    <col min="4598" max="4598" width="8.1640625" style="248" customWidth="1"/>
    <col min="4599" max="4601" width="14.5" style="248" customWidth="1"/>
    <col min="4602" max="4851" width="9.33203125" style="248"/>
    <col min="4852" max="4852" width="6.83203125" style="248" customWidth="1"/>
    <col min="4853" max="4853" width="60.1640625" style="248" customWidth="1"/>
    <col min="4854" max="4854" width="8.1640625" style="248" customWidth="1"/>
    <col min="4855" max="4857" width="14.5" style="248" customWidth="1"/>
    <col min="4858" max="5107" width="9.33203125" style="248"/>
    <col min="5108" max="5108" width="6.83203125" style="248" customWidth="1"/>
    <col min="5109" max="5109" width="60.1640625" style="248" customWidth="1"/>
    <col min="5110" max="5110" width="8.1640625" style="248" customWidth="1"/>
    <col min="5111" max="5113" width="14.5" style="248" customWidth="1"/>
    <col min="5114" max="5363" width="9.33203125" style="248"/>
    <col min="5364" max="5364" width="6.83203125" style="248" customWidth="1"/>
    <col min="5365" max="5365" width="60.1640625" style="248" customWidth="1"/>
    <col min="5366" max="5366" width="8.1640625" style="248" customWidth="1"/>
    <col min="5367" max="5369" width="14.5" style="248" customWidth="1"/>
    <col min="5370" max="5619" width="9.33203125" style="248"/>
    <col min="5620" max="5620" width="6.83203125" style="248" customWidth="1"/>
    <col min="5621" max="5621" width="60.1640625" style="248" customWidth="1"/>
    <col min="5622" max="5622" width="8.1640625" style="248" customWidth="1"/>
    <col min="5623" max="5625" width="14.5" style="248" customWidth="1"/>
    <col min="5626" max="5875" width="9.33203125" style="248"/>
    <col min="5876" max="5876" width="6.83203125" style="248" customWidth="1"/>
    <col min="5877" max="5877" width="60.1640625" style="248" customWidth="1"/>
    <col min="5878" max="5878" width="8.1640625" style="248" customWidth="1"/>
    <col min="5879" max="5881" width="14.5" style="248" customWidth="1"/>
    <col min="5882" max="6131" width="9.33203125" style="248"/>
    <col min="6132" max="6132" width="6.83203125" style="248" customWidth="1"/>
    <col min="6133" max="6133" width="60.1640625" style="248" customWidth="1"/>
    <col min="6134" max="6134" width="8.1640625" style="248" customWidth="1"/>
    <col min="6135" max="6137" width="14.5" style="248" customWidth="1"/>
    <col min="6138" max="6387" width="9.33203125" style="248"/>
    <col min="6388" max="6388" width="6.83203125" style="248" customWidth="1"/>
    <col min="6389" max="6389" width="60.1640625" style="248" customWidth="1"/>
    <col min="6390" max="6390" width="8.1640625" style="248" customWidth="1"/>
    <col min="6391" max="6393" width="14.5" style="248" customWidth="1"/>
    <col min="6394" max="6643" width="9.33203125" style="248"/>
    <col min="6644" max="6644" width="6.83203125" style="248" customWidth="1"/>
    <col min="6645" max="6645" width="60.1640625" style="248" customWidth="1"/>
    <col min="6646" max="6646" width="8.1640625" style="248" customWidth="1"/>
    <col min="6647" max="6649" width="14.5" style="248" customWidth="1"/>
    <col min="6650" max="6899" width="9.33203125" style="248"/>
    <col min="6900" max="6900" width="6.83203125" style="248" customWidth="1"/>
    <col min="6901" max="6901" width="60.1640625" style="248" customWidth="1"/>
    <col min="6902" max="6902" width="8.1640625" style="248" customWidth="1"/>
    <col min="6903" max="6905" width="14.5" style="248" customWidth="1"/>
    <col min="6906" max="7155" width="9.33203125" style="248"/>
    <col min="7156" max="7156" width="6.83203125" style="248" customWidth="1"/>
    <col min="7157" max="7157" width="60.1640625" style="248" customWidth="1"/>
    <col min="7158" max="7158" width="8.1640625" style="248" customWidth="1"/>
    <col min="7159" max="7161" width="14.5" style="248" customWidth="1"/>
    <col min="7162" max="7411" width="9.33203125" style="248"/>
    <col min="7412" max="7412" width="6.83203125" style="248" customWidth="1"/>
    <col min="7413" max="7413" width="60.1640625" style="248" customWidth="1"/>
    <col min="7414" max="7414" width="8.1640625" style="248" customWidth="1"/>
    <col min="7415" max="7417" width="14.5" style="248" customWidth="1"/>
    <col min="7418" max="7667" width="9.33203125" style="248"/>
    <col min="7668" max="7668" width="6.83203125" style="248" customWidth="1"/>
    <col min="7669" max="7669" width="60.1640625" style="248" customWidth="1"/>
    <col min="7670" max="7670" width="8.1640625" style="248" customWidth="1"/>
    <col min="7671" max="7673" width="14.5" style="248" customWidth="1"/>
    <col min="7674" max="7923" width="9.33203125" style="248"/>
    <col min="7924" max="7924" width="6.83203125" style="248" customWidth="1"/>
    <col min="7925" max="7925" width="60.1640625" style="248" customWidth="1"/>
    <col min="7926" max="7926" width="8.1640625" style="248" customWidth="1"/>
    <col min="7927" max="7929" width="14.5" style="248" customWidth="1"/>
    <col min="7930" max="8179" width="9.33203125" style="248"/>
    <col min="8180" max="8180" width="6.83203125" style="248" customWidth="1"/>
    <col min="8181" max="8181" width="60.1640625" style="248" customWidth="1"/>
    <col min="8182" max="8182" width="8.1640625" style="248" customWidth="1"/>
    <col min="8183" max="8185" width="14.5" style="248" customWidth="1"/>
    <col min="8186" max="8435" width="9.33203125" style="248"/>
    <col min="8436" max="8436" width="6.83203125" style="248" customWidth="1"/>
    <col min="8437" max="8437" width="60.1640625" style="248" customWidth="1"/>
    <col min="8438" max="8438" width="8.1640625" style="248" customWidth="1"/>
    <col min="8439" max="8441" width="14.5" style="248" customWidth="1"/>
    <col min="8442" max="8691" width="9.33203125" style="248"/>
    <col min="8692" max="8692" width="6.83203125" style="248" customWidth="1"/>
    <col min="8693" max="8693" width="60.1640625" style="248" customWidth="1"/>
    <col min="8694" max="8694" width="8.1640625" style="248" customWidth="1"/>
    <col min="8695" max="8697" width="14.5" style="248" customWidth="1"/>
    <col min="8698" max="8947" width="9.33203125" style="248"/>
    <col min="8948" max="8948" width="6.83203125" style="248" customWidth="1"/>
    <col min="8949" max="8949" width="60.1640625" style="248" customWidth="1"/>
    <col min="8950" max="8950" width="8.1640625" style="248" customWidth="1"/>
    <col min="8951" max="8953" width="14.5" style="248" customWidth="1"/>
    <col min="8954" max="9203" width="9.33203125" style="248"/>
    <col min="9204" max="9204" width="6.83203125" style="248" customWidth="1"/>
    <col min="9205" max="9205" width="60.1640625" style="248" customWidth="1"/>
    <col min="9206" max="9206" width="8.1640625" style="248" customWidth="1"/>
    <col min="9207" max="9209" width="14.5" style="248" customWidth="1"/>
    <col min="9210" max="9459" width="9.33203125" style="248"/>
    <col min="9460" max="9460" width="6.83203125" style="248" customWidth="1"/>
    <col min="9461" max="9461" width="60.1640625" style="248" customWidth="1"/>
    <col min="9462" max="9462" width="8.1640625" style="248" customWidth="1"/>
    <col min="9463" max="9465" width="14.5" style="248" customWidth="1"/>
    <col min="9466" max="9715" width="9.33203125" style="248"/>
    <col min="9716" max="9716" width="6.83203125" style="248" customWidth="1"/>
    <col min="9717" max="9717" width="60.1640625" style="248" customWidth="1"/>
    <col min="9718" max="9718" width="8.1640625" style="248" customWidth="1"/>
    <col min="9719" max="9721" width="14.5" style="248" customWidth="1"/>
    <col min="9722" max="9971" width="9.33203125" style="248"/>
    <col min="9972" max="9972" width="6.83203125" style="248" customWidth="1"/>
    <col min="9973" max="9973" width="60.1640625" style="248" customWidth="1"/>
    <col min="9974" max="9974" width="8.1640625" style="248" customWidth="1"/>
    <col min="9975" max="9977" width="14.5" style="248" customWidth="1"/>
    <col min="9978" max="10227" width="9.33203125" style="248"/>
    <col min="10228" max="10228" width="6.83203125" style="248" customWidth="1"/>
    <col min="10229" max="10229" width="60.1640625" style="248" customWidth="1"/>
    <col min="10230" max="10230" width="8.1640625" style="248" customWidth="1"/>
    <col min="10231" max="10233" width="14.5" style="248" customWidth="1"/>
    <col min="10234" max="10483" width="9.33203125" style="248"/>
    <col min="10484" max="10484" width="6.83203125" style="248" customWidth="1"/>
    <col min="10485" max="10485" width="60.1640625" style="248" customWidth="1"/>
    <col min="10486" max="10486" width="8.1640625" style="248" customWidth="1"/>
    <col min="10487" max="10489" width="14.5" style="248" customWidth="1"/>
    <col min="10490" max="10739" width="9.33203125" style="248"/>
    <col min="10740" max="10740" width="6.83203125" style="248" customWidth="1"/>
    <col min="10741" max="10741" width="60.1640625" style="248" customWidth="1"/>
    <col min="10742" max="10742" width="8.1640625" style="248" customWidth="1"/>
    <col min="10743" max="10745" width="14.5" style="248" customWidth="1"/>
    <col min="10746" max="10995" width="9.33203125" style="248"/>
    <col min="10996" max="10996" width="6.83203125" style="248" customWidth="1"/>
    <col min="10997" max="10997" width="60.1640625" style="248" customWidth="1"/>
    <col min="10998" max="10998" width="8.1640625" style="248" customWidth="1"/>
    <col min="10999" max="11001" width="14.5" style="248" customWidth="1"/>
    <col min="11002" max="11251" width="9.33203125" style="248"/>
    <col min="11252" max="11252" width="6.83203125" style="248" customWidth="1"/>
    <col min="11253" max="11253" width="60.1640625" style="248" customWidth="1"/>
    <col min="11254" max="11254" width="8.1640625" style="248" customWidth="1"/>
    <col min="11255" max="11257" width="14.5" style="248" customWidth="1"/>
    <col min="11258" max="11507" width="9.33203125" style="248"/>
    <col min="11508" max="11508" width="6.83203125" style="248" customWidth="1"/>
    <col min="11509" max="11509" width="60.1640625" style="248" customWidth="1"/>
    <col min="11510" max="11510" width="8.1640625" style="248" customWidth="1"/>
    <col min="11511" max="11513" width="14.5" style="248" customWidth="1"/>
    <col min="11514" max="11763" width="9.33203125" style="248"/>
    <col min="11764" max="11764" width="6.83203125" style="248" customWidth="1"/>
    <col min="11765" max="11765" width="60.1640625" style="248" customWidth="1"/>
    <col min="11766" max="11766" width="8.1640625" style="248" customWidth="1"/>
    <col min="11767" max="11769" width="14.5" style="248" customWidth="1"/>
    <col min="11770" max="12019" width="9.33203125" style="248"/>
    <col min="12020" max="12020" width="6.83203125" style="248" customWidth="1"/>
    <col min="12021" max="12021" width="60.1640625" style="248" customWidth="1"/>
    <col min="12022" max="12022" width="8.1640625" style="248" customWidth="1"/>
    <col min="12023" max="12025" width="14.5" style="248" customWidth="1"/>
    <col min="12026" max="12275" width="9.33203125" style="248"/>
    <col min="12276" max="12276" width="6.83203125" style="248" customWidth="1"/>
    <col min="12277" max="12277" width="60.1640625" style="248" customWidth="1"/>
    <col min="12278" max="12278" width="8.1640625" style="248" customWidth="1"/>
    <col min="12279" max="12281" width="14.5" style="248" customWidth="1"/>
    <col min="12282" max="12531" width="9.33203125" style="248"/>
    <col min="12532" max="12532" width="6.83203125" style="248" customWidth="1"/>
    <col min="12533" max="12533" width="60.1640625" style="248" customWidth="1"/>
    <col min="12534" max="12534" width="8.1640625" style="248" customWidth="1"/>
    <col min="12535" max="12537" width="14.5" style="248" customWidth="1"/>
    <col min="12538" max="12787" width="9.33203125" style="248"/>
    <col min="12788" max="12788" width="6.83203125" style="248" customWidth="1"/>
    <col min="12789" max="12789" width="60.1640625" style="248" customWidth="1"/>
    <col min="12790" max="12790" width="8.1640625" style="248" customWidth="1"/>
    <col min="12791" max="12793" width="14.5" style="248" customWidth="1"/>
    <col min="12794" max="13043" width="9.33203125" style="248"/>
    <col min="13044" max="13044" width="6.83203125" style="248" customWidth="1"/>
    <col min="13045" max="13045" width="60.1640625" style="248" customWidth="1"/>
    <col min="13046" max="13046" width="8.1640625" style="248" customWidth="1"/>
    <col min="13047" max="13049" width="14.5" style="248" customWidth="1"/>
    <col min="13050" max="13299" width="9.33203125" style="248"/>
    <col min="13300" max="13300" width="6.83203125" style="248" customWidth="1"/>
    <col min="13301" max="13301" width="60.1640625" style="248" customWidth="1"/>
    <col min="13302" max="13302" width="8.1640625" style="248" customWidth="1"/>
    <col min="13303" max="13305" width="14.5" style="248" customWidth="1"/>
    <col min="13306" max="13555" width="9.33203125" style="248"/>
    <col min="13556" max="13556" width="6.83203125" style="248" customWidth="1"/>
    <col min="13557" max="13557" width="60.1640625" style="248" customWidth="1"/>
    <col min="13558" max="13558" width="8.1640625" style="248" customWidth="1"/>
    <col min="13559" max="13561" width="14.5" style="248" customWidth="1"/>
    <col min="13562" max="13811" width="9.33203125" style="248"/>
    <col min="13812" max="13812" width="6.83203125" style="248" customWidth="1"/>
    <col min="13813" max="13813" width="60.1640625" style="248" customWidth="1"/>
    <col min="13814" max="13814" width="8.1640625" style="248" customWidth="1"/>
    <col min="13815" max="13817" width="14.5" style="248" customWidth="1"/>
    <col min="13818" max="14067" width="9.33203125" style="248"/>
    <col min="14068" max="14068" width="6.83203125" style="248" customWidth="1"/>
    <col min="14069" max="14069" width="60.1640625" style="248" customWidth="1"/>
    <col min="14070" max="14070" width="8.1640625" style="248" customWidth="1"/>
    <col min="14071" max="14073" width="14.5" style="248" customWidth="1"/>
    <col min="14074" max="14323" width="9.33203125" style="248"/>
    <col min="14324" max="14324" width="6.83203125" style="248" customWidth="1"/>
    <col min="14325" max="14325" width="60.1640625" style="248" customWidth="1"/>
    <col min="14326" max="14326" width="8.1640625" style="248" customWidth="1"/>
    <col min="14327" max="14329" width="14.5" style="248" customWidth="1"/>
    <col min="14330" max="14579" width="9.33203125" style="248"/>
    <col min="14580" max="14580" width="6.83203125" style="248" customWidth="1"/>
    <col min="14581" max="14581" width="60.1640625" style="248" customWidth="1"/>
    <col min="14582" max="14582" width="8.1640625" style="248" customWidth="1"/>
    <col min="14583" max="14585" width="14.5" style="248" customWidth="1"/>
    <col min="14586" max="14835" width="9.33203125" style="248"/>
    <col min="14836" max="14836" width="6.83203125" style="248" customWidth="1"/>
    <col min="14837" max="14837" width="60.1640625" style="248" customWidth="1"/>
    <col min="14838" max="14838" width="8.1640625" style="248" customWidth="1"/>
    <col min="14839" max="14841" width="14.5" style="248" customWidth="1"/>
    <col min="14842" max="15091" width="9.33203125" style="248"/>
    <col min="15092" max="15092" width="6.83203125" style="248" customWidth="1"/>
    <col min="15093" max="15093" width="60.1640625" style="248" customWidth="1"/>
    <col min="15094" max="15094" width="8.1640625" style="248" customWidth="1"/>
    <col min="15095" max="15097" width="14.5" style="248" customWidth="1"/>
    <col min="15098" max="15347" width="9.33203125" style="248"/>
    <col min="15348" max="15348" width="6.83203125" style="248" customWidth="1"/>
    <col min="15349" max="15349" width="60.1640625" style="248" customWidth="1"/>
    <col min="15350" max="15350" width="8.1640625" style="248" customWidth="1"/>
    <col min="15351" max="15353" width="14.5" style="248" customWidth="1"/>
    <col min="15354" max="15603" width="9.33203125" style="248"/>
    <col min="15604" max="15604" width="6.83203125" style="248" customWidth="1"/>
    <col min="15605" max="15605" width="60.1640625" style="248" customWidth="1"/>
    <col min="15606" max="15606" width="8.1640625" style="248" customWidth="1"/>
    <col min="15607" max="15609" width="14.5" style="248" customWidth="1"/>
    <col min="15610" max="15859" width="9.33203125" style="248"/>
    <col min="15860" max="15860" width="6.83203125" style="248" customWidth="1"/>
    <col min="15861" max="15861" width="60.1640625" style="248" customWidth="1"/>
    <col min="15862" max="15862" width="8.1640625" style="248" customWidth="1"/>
    <col min="15863" max="15865" width="14.5" style="248" customWidth="1"/>
    <col min="15866" max="16115" width="9.33203125" style="248"/>
    <col min="16116" max="16116" width="6.83203125" style="248" customWidth="1"/>
    <col min="16117" max="16117" width="60.1640625" style="248" customWidth="1"/>
    <col min="16118" max="16118" width="8.1640625" style="248" customWidth="1"/>
    <col min="16119" max="16121" width="14.5" style="248" customWidth="1"/>
    <col min="16122" max="16384" width="9.33203125" style="248"/>
  </cols>
  <sheetData>
    <row r="1" spans="1:7" s="242" customFormat="1" ht="40.5" customHeight="1" x14ac:dyDescent="0.2">
      <c r="A1" s="1169" t="s">
        <v>741</v>
      </c>
      <c r="B1" s="1170"/>
      <c r="C1" s="1170"/>
      <c r="D1" s="1170"/>
      <c r="E1" s="1170"/>
      <c r="F1" s="1170"/>
    </row>
    <row r="2" spans="1:7" s="245" customFormat="1" ht="15.95" customHeight="1" x14ac:dyDescent="0.2">
      <c r="A2" s="243"/>
      <c r="B2" s="243"/>
      <c r="C2" s="244"/>
      <c r="D2" s="244"/>
      <c r="E2" s="244"/>
      <c r="F2" s="244" t="s">
        <v>1</v>
      </c>
    </row>
    <row r="3" spans="1:7" ht="38.25" customHeight="1" x14ac:dyDescent="0.2">
      <c r="A3" s="246" t="s">
        <v>365</v>
      </c>
      <c r="B3" s="246" t="s">
        <v>420</v>
      </c>
      <c r="C3" s="247" t="s">
        <v>421</v>
      </c>
      <c r="D3" s="247" t="s">
        <v>500</v>
      </c>
      <c r="E3" s="247" t="s">
        <v>936</v>
      </c>
      <c r="F3" s="247" t="s">
        <v>937</v>
      </c>
    </row>
    <row r="4" spans="1:7" s="250" customFormat="1" ht="12.95" customHeight="1" x14ac:dyDescent="0.2">
      <c r="A4" s="249" t="s">
        <v>5</v>
      </c>
      <c r="B4" s="249" t="s">
        <v>6</v>
      </c>
      <c r="C4" s="249" t="s">
        <v>7</v>
      </c>
      <c r="D4" s="249" t="s">
        <v>8</v>
      </c>
      <c r="E4" s="249" t="s">
        <v>263</v>
      </c>
      <c r="F4" s="249" t="s">
        <v>422</v>
      </c>
      <c r="G4" s="975"/>
    </row>
    <row r="5" spans="1:7" s="250" customFormat="1" ht="15.95" customHeight="1" x14ac:dyDescent="0.2">
      <c r="A5" s="1171" t="s">
        <v>260</v>
      </c>
      <c r="B5" s="1172"/>
      <c r="C5" s="1172"/>
      <c r="D5" s="1172"/>
      <c r="E5" s="1172"/>
      <c r="F5" s="1173"/>
      <c r="G5" s="975"/>
    </row>
    <row r="6" spans="1:7" s="250" customFormat="1" ht="25.5" customHeight="1" x14ac:dyDescent="0.2">
      <c r="A6" s="251" t="s">
        <v>9</v>
      </c>
      <c r="B6" s="870" t="s">
        <v>423</v>
      </c>
      <c r="C6" s="251" t="s">
        <v>424</v>
      </c>
      <c r="D6" s="253">
        <v>300000</v>
      </c>
      <c r="E6" s="253">
        <v>1619280</v>
      </c>
      <c r="F6" s="253">
        <v>496105</v>
      </c>
      <c r="G6" s="975"/>
    </row>
    <row r="7" spans="1:7" s="250" customFormat="1" ht="30" customHeight="1" x14ac:dyDescent="0.2">
      <c r="A7" s="254" t="s">
        <v>12</v>
      </c>
      <c r="B7" s="871" t="s">
        <v>425</v>
      </c>
      <c r="C7" s="254" t="s">
        <v>426</v>
      </c>
      <c r="D7" s="256"/>
      <c r="E7" s="256"/>
      <c r="F7" s="256">
        <f>SUM(D7:E7)</f>
        <v>0</v>
      </c>
      <c r="G7" s="975"/>
    </row>
    <row r="8" spans="1:7" s="250" customFormat="1" ht="25.5" customHeight="1" x14ac:dyDescent="0.2">
      <c r="A8" s="254" t="s">
        <v>15</v>
      </c>
      <c r="B8" s="871" t="s">
        <v>427</v>
      </c>
      <c r="C8" s="257" t="s">
        <v>428</v>
      </c>
      <c r="D8" s="256"/>
      <c r="E8" s="256"/>
      <c r="F8" s="256">
        <f>SUM(D8:E8)</f>
        <v>0</v>
      </c>
      <c r="G8" s="975"/>
    </row>
    <row r="9" spans="1:7" s="250" customFormat="1" ht="25.5" customHeight="1" x14ac:dyDescent="0.2">
      <c r="A9" s="254" t="s">
        <v>18</v>
      </c>
      <c r="B9" s="871" t="s">
        <v>429</v>
      </c>
      <c r="C9" s="257" t="s">
        <v>430</v>
      </c>
      <c r="D9" s="256"/>
      <c r="E9" s="256"/>
      <c r="F9" s="256">
        <f>SUM(D9:E9)</f>
        <v>0</v>
      </c>
      <c r="G9" s="975"/>
    </row>
    <row r="10" spans="1:7" s="250" customFormat="1" ht="27.75" customHeight="1" x14ac:dyDescent="0.2">
      <c r="A10" s="258" t="s">
        <v>21</v>
      </c>
      <c r="B10" s="872" t="s">
        <v>431</v>
      </c>
      <c r="C10" s="258" t="s">
        <v>35</v>
      </c>
      <c r="D10" s="256">
        <f>SUM(D6:D9)</f>
        <v>300000</v>
      </c>
      <c r="E10" s="256">
        <f>SUM(E6:E9)</f>
        <v>1619280</v>
      </c>
      <c r="F10" s="256">
        <f>SUM(F6:F9)</f>
        <v>496105</v>
      </c>
      <c r="G10" s="975"/>
    </row>
    <row r="11" spans="1:7" s="250" customFormat="1" ht="24.75" customHeight="1" x14ac:dyDescent="0.2">
      <c r="A11" s="254" t="s">
        <v>24</v>
      </c>
      <c r="B11" s="871" t="s">
        <v>432</v>
      </c>
      <c r="C11" s="254" t="s">
        <v>433</v>
      </c>
      <c r="D11" s="256"/>
      <c r="E11" s="256"/>
      <c r="F11" s="256">
        <f t="shared" ref="F11:F14" si="0">SUM(D11:E11)</f>
        <v>0</v>
      </c>
      <c r="G11" s="975"/>
    </row>
    <row r="12" spans="1:7" s="250" customFormat="1" ht="30" customHeight="1" x14ac:dyDescent="0.2">
      <c r="A12" s="254" t="s">
        <v>27</v>
      </c>
      <c r="B12" s="871" t="s">
        <v>434</v>
      </c>
      <c r="C12" s="254" t="s">
        <v>435</v>
      </c>
      <c r="D12" s="256"/>
      <c r="E12" s="256"/>
      <c r="F12" s="256">
        <f t="shared" si="0"/>
        <v>0</v>
      </c>
      <c r="G12" s="975"/>
    </row>
    <row r="13" spans="1:7" s="250" customFormat="1" ht="30" customHeight="1" x14ac:dyDescent="0.2">
      <c r="A13" s="254" t="s">
        <v>30</v>
      </c>
      <c r="B13" s="871" t="s">
        <v>436</v>
      </c>
      <c r="C13" s="254" t="s">
        <v>437</v>
      </c>
      <c r="D13" s="256"/>
      <c r="E13" s="256"/>
      <c r="F13" s="256">
        <f t="shared" si="0"/>
        <v>0</v>
      </c>
      <c r="G13" s="975"/>
    </row>
    <row r="14" spans="1:7" s="250" customFormat="1" ht="30" customHeight="1" x14ac:dyDescent="0.2">
      <c r="A14" s="254" t="s">
        <v>33</v>
      </c>
      <c r="B14" s="871" t="s">
        <v>438</v>
      </c>
      <c r="C14" s="254" t="s">
        <v>439</v>
      </c>
      <c r="D14" s="256"/>
      <c r="E14" s="256"/>
      <c r="F14" s="256">
        <f t="shared" si="0"/>
        <v>0</v>
      </c>
      <c r="G14" s="975"/>
    </row>
    <row r="15" spans="1:7" s="250" customFormat="1" ht="21.75" customHeight="1" x14ac:dyDescent="0.2">
      <c r="A15" s="258" t="s">
        <v>36</v>
      </c>
      <c r="B15" s="873" t="s">
        <v>403</v>
      </c>
      <c r="C15" s="260" t="s">
        <v>58</v>
      </c>
      <c r="D15" s="259">
        <f>SUM(D11:D14)</f>
        <v>0</v>
      </c>
      <c r="E15" s="259">
        <f>SUM(E11:E14)</f>
        <v>0</v>
      </c>
      <c r="F15" s="259">
        <f>SUM(F11:F14)</f>
        <v>0</v>
      </c>
      <c r="G15" s="975"/>
    </row>
    <row r="16" spans="1:7" s="264" customFormat="1" ht="16.5" customHeight="1" x14ac:dyDescent="0.2">
      <c r="A16" s="254" t="s">
        <v>38</v>
      </c>
      <c r="B16" s="874" t="s">
        <v>106</v>
      </c>
      <c r="C16" s="262" t="s">
        <v>107</v>
      </c>
      <c r="D16" s="263"/>
      <c r="E16" s="263">
        <v>2800</v>
      </c>
      <c r="F16" s="263">
        <f>SUM(D16:E16)</f>
        <v>2800</v>
      </c>
      <c r="G16" s="976"/>
    </row>
    <row r="17" spans="1:7" s="264" customFormat="1" ht="16.5" customHeight="1" x14ac:dyDescent="0.2">
      <c r="A17" s="254" t="s">
        <v>40</v>
      </c>
      <c r="B17" s="874" t="s">
        <v>109</v>
      </c>
      <c r="C17" s="262" t="s">
        <v>110</v>
      </c>
      <c r="D17" s="263">
        <v>574803</v>
      </c>
      <c r="E17" s="263">
        <v>574803</v>
      </c>
      <c r="F17" s="263">
        <v>380880</v>
      </c>
      <c r="G17" s="976"/>
    </row>
    <row r="18" spans="1:7" s="264" customFormat="1" ht="16.5" customHeight="1" x14ac:dyDescent="0.2">
      <c r="A18" s="254" t="s">
        <v>42</v>
      </c>
      <c r="B18" s="874" t="s">
        <v>440</v>
      </c>
      <c r="C18" s="262" t="s">
        <v>113</v>
      </c>
      <c r="D18" s="263">
        <f>SUM(D19:D20)</f>
        <v>0</v>
      </c>
      <c r="E18" s="263">
        <f>SUM(E19:E20)</f>
        <v>0</v>
      </c>
      <c r="F18" s="263"/>
      <c r="G18" s="976"/>
    </row>
    <row r="19" spans="1:7" s="264" customFormat="1" ht="16.5" customHeight="1" x14ac:dyDescent="0.2">
      <c r="A19" s="254" t="s">
        <v>44</v>
      </c>
      <c r="B19" s="875" t="s">
        <v>441</v>
      </c>
      <c r="C19" s="266" t="s">
        <v>442</v>
      </c>
      <c r="D19" s="267"/>
      <c r="E19" s="267"/>
      <c r="F19" s="267"/>
      <c r="G19" s="976"/>
    </row>
    <row r="20" spans="1:7" s="268" customFormat="1" ht="16.5" customHeight="1" x14ac:dyDescent="0.2">
      <c r="A20" s="254" t="s">
        <v>46</v>
      </c>
      <c r="B20" s="875" t="s">
        <v>443</v>
      </c>
      <c r="C20" s="266" t="s">
        <v>444</v>
      </c>
      <c r="D20" s="267"/>
      <c r="E20" s="267"/>
      <c r="F20" s="267"/>
      <c r="G20" s="977"/>
    </row>
    <row r="21" spans="1:7" s="268" customFormat="1" ht="16.5" customHeight="1" x14ac:dyDescent="0.2">
      <c r="A21" s="254" t="s">
        <v>48</v>
      </c>
      <c r="B21" s="876" t="s">
        <v>115</v>
      </c>
      <c r="C21" s="262" t="s">
        <v>116</v>
      </c>
      <c r="D21" s="267"/>
      <c r="E21" s="267"/>
      <c r="F21" s="267"/>
      <c r="G21" s="977"/>
    </row>
    <row r="22" spans="1:7" s="264" customFormat="1" ht="16.5" customHeight="1" x14ac:dyDescent="0.2">
      <c r="A22" s="254" t="s">
        <v>50</v>
      </c>
      <c r="B22" s="874" t="s">
        <v>118</v>
      </c>
      <c r="C22" s="262" t="s">
        <v>119</v>
      </c>
      <c r="D22" s="263"/>
      <c r="E22" s="263"/>
      <c r="F22" s="267"/>
      <c r="G22" s="976"/>
    </row>
    <row r="23" spans="1:7" s="264" customFormat="1" ht="16.5" customHeight="1" x14ac:dyDescent="0.2">
      <c r="A23" s="254" t="s">
        <v>53</v>
      </c>
      <c r="B23" s="874" t="s">
        <v>445</v>
      </c>
      <c r="C23" s="262" t="s">
        <v>122</v>
      </c>
      <c r="D23" s="263">
        <v>155197</v>
      </c>
      <c r="E23" s="263">
        <v>155197</v>
      </c>
      <c r="F23" s="267">
        <v>33361</v>
      </c>
      <c r="G23" s="976"/>
    </row>
    <row r="24" spans="1:7" s="268" customFormat="1" ht="16.5" customHeight="1" x14ac:dyDescent="0.2">
      <c r="A24" s="254" t="s">
        <v>56</v>
      </c>
      <c r="B24" s="874" t="s">
        <v>446</v>
      </c>
      <c r="C24" s="262" t="s">
        <v>125</v>
      </c>
      <c r="D24" s="263"/>
      <c r="E24" s="263"/>
      <c r="F24" s="267"/>
      <c r="G24" s="977"/>
    </row>
    <row r="25" spans="1:7" s="268" customFormat="1" ht="16.5" customHeight="1" x14ac:dyDescent="0.2">
      <c r="A25" s="254" t="s">
        <v>59</v>
      </c>
      <c r="B25" s="877" t="s">
        <v>127</v>
      </c>
      <c r="C25" s="262" t="s">
        <v>128</v>
      </c>
      <c r="D25" s="263"/>
      <c r="E25" s="263"/>
      <c r="F25" s="267"/>
      <c r="G25" s="977"/>
    </row>
    <row r="26" spans="1:7" s="268" customFormat="1" ht="16.5" customHeight="1" x14ac:dyDescent="0.2">
      <c r="A26" s="254" t="s">
        <v>61</v>
      </c>
      <c r="B26" s="874" t="s">
        <v>447</v>
      </c>
      <c r="C26" s="262" t="s">
        <v>131</v>
      </c>
      <c r="D26" s="263"/>
      <c r="E26" s="263"/>
      <c r="F26" s="267"/>
      <c r="G26" s="977"/>
    </row>
    <row r="27" spans="1:7" s="268" customFormat="1" ht="16.5" customHeight="1" x14ac:dyDescent="0.2">
      <c r="A27" s="254" t="s">
        <v>63</v>
      </c>
      <c r="B27" s="874" t="s">
        <v>448</v>
      </c>
      <c r="C27" s="262" t="s">
        <v>134</v>
      </c>
      <c r="D27" s="263"/>
      <c r="E27" s="263"/>
      <c r="F27" s="267"/>
      <c r="G27" s="977"/>
    </row>
    <row r="28" spans="1:7" s="268" customFormat="1" ht="16.5" customHeight="1" x14ac:dyDescent="0.2">
      <c r="A28" s="682" t="s">
        <v>65</v>
      </c>
      <c r="B28" s="878" t="s">
        <v>136</v>
      </c>
      <c r="C28" s="696" t="s">
        <v>137</v>
      </c>
      <c r="D28" s="104"/>
      <c r="E28" s="104">
        <v>2106</v>
      </c>
      <c r="F28" s="868">
        <v>2106</v>
      </c>
      <c r="G28" s="977"/>
    </row>
    <row r="29" spans="1:7" s="268" customFormat="1" ht="21.75" customHeight="1" x14ac:dyDescent="0.2">
      <c r="A29" s="272" t="s">
        <v>67</v>
      </c>
      <c r="B29" s="879" t="s">
        <v>449</v>
      </c>
      <c r="C29" s="697" t="s">
        <v>140</v>
      </c>
      <c r="D29" s="275">
        <f>SUM(D16+D17+D18+D21+D22+D23+D24+D25+D26+D27+D28)</f>
        <v>730000</v>
      </c>
      <c r="E29" s="275">
        <f>SUM(E16+E17+E18+E21+E22+E23+E24+E25+E26+E27+E28)</f>
        <v>734906</v>
      </c>
      <c r="F29" s="275">
        <f>SUM(F16+F17+F18+F21+F22+F23+F24+F25+F26+F27+F28)</f>
        <v>419147</v>
      </c>
      <c r="G29" s="977"/>
    </row>
    <row r="30" spans="1:7" s="271" customFormat="1" ht="21.75" customHeight="1" x14ac:dyDescent="0.2">
      <c r="A30" s="272" t="s">
        <v>69</v>
      </c>
      <c r="B30" s="879" t="s">
        <v>405</v>
      </c>
      <c r="C30" s="697" t="s">
        <v>158</v>
      </c>
      <c r="D30" s="275"/>
      <c r="E30" s="275"/>
      <c r="F30" s="275"/>
      <c r="G30" s="978"/>
    </row>
    <row r="31" spans="1:7" s="268" customFormat="1" ht="21.75" customHeight="1" x14ac:dyDescent="0.2">
      <c r="A31" s="272" t="s">
        <v>71</v>
      </c>
      <c r="B31" s="879" t="s">
        <v>375</v>
      </c>
      <c r="C31" s="697" t="s">
        <v>167</v>
      </c>
      <c r="D31" s="702">
        <v>500000</v>
      </c>
      <c r="E31" s="702">
        <v>500000</v>
      </c>
      <c r="F31" s="702">
        <v>185500</v>
      </c>
      <c r="G31" s="977"/>
    </row>
    <row r="32" spans="1:7" s="268" customFormat="1" ht="21.75" customHeight="1" x14ac:dyDescent="0.2">
      <c r="A32" s="698" t="s">
        <v>74</v>
      </c>
      <c r="B32" s="880" t="s">
        <v>406</v>
      </c>
      <c r="C32" s="700" t="s">
        <v>176</v>
      </c>
      <c r="D32" s="701"/>
      <c r="E32" s="701"/>
      <c r="F32" s="701"/>
      <c r="G32" s="977"/>
    </row>
    <row r="33" spans="1:7" s="268" customFormat="1" ht="21.75" customHeight="1" x14ac:dyDescent="0.2">
      <c r="A33" s="272" t="s">
        <v>77</v>
      </c>
      <c r="B33" s="879" t="s">
        <v>450</v>
      </c>
      <c r="C33" s="274"/>
      <c r="D33" s="275">
        <f>D10+D15+D29+D30+D31+D32</f>
        <v>1530000</v>
      </c>
      <c r="E33" s="275">
        <f>E10+E15+E29+E30+E31+E32</f>
        <v>2854186</v>
      </c>
      <c r="F33" s="275">
        <f>F10+F15+F29+F30+F31+F32</f>
        <v>1100752</v>
      </c>
      <c r="G33" s="977"/>
    </row>
    <row r="34" spans="1:7" s="264" customFormat="1" ht="21.75" customHeight="1" x14ac:dyDescent="0.2">
      <c r="A34" s="254" t="s">
        <v>80</v>
      </c>
      <c r="B34" s="881" t="s">
        <v>451</v>
      </c>
      <c r="C34" s="277" t="s">
        <v>185</v>
      </c>
      <c r="D34" s="278">
        <f>SUM(D35:D36)</f>
        <v>289995</v>
      </c>
      <c r="E34" s="278">
        <f>SUM(E35:E36)</f>
        <v>289995</v>
      </c>
      <c r="F34" s="278">
        <f>SUM(F35:F36)</f>
        <v>289995</v>
      </c>
      <c r="G34" s="976"/>
    </row>
    <row r="35" spans="1:7" s="264" customFormat="1" ht="21.75" customHeight="1" x14ac:dyDescent="0.2">
      <c r="A35" s="254" t="s">
        <v>82</v>
      </c>
      <c r="B35" s="882" t="s">
        <v>187</v>
      </c>
      <c r="C35" s="277" t="s">
        <v>188</v>
      </c>
      <c r="D35" s="278">
        <v>289995</v>
      </c>
      <c r="E35" s="278">
        <v>289995</v>
      </c>
      <c r="F35" s="278">
        <v>289995</v>
      </c>
      <c r="G35" s="976"/>
    </row>
    <row r="36" spans="1:7" s="264" customFormat="1" ht="21.75" customHeight="1" x14ac:dyDescent="0.2">
      <c r="A36" s="254" t="s">
        <v>84</v>
      </c>
      <c r="B36" s="882" t="s">
        <v>190</v>
      </c>
      <c r="C36" s="277" t="s">
        <v>191</v>
      </c>
      <c r="D36" s="278"/>
      <c r="E36" s="278"/>
      <c r="F36" s="278"/>
      <c r="G36" s="976"/>
    </row>
    <row r="37" spans="1:7" s="264" customFormat="1" ht="21.75" customHeight="1" x14ac:dyDescent="0.2">
      <c r="A37" s="254" t="s">
        <v>86</v>
      </c>
      <c r="B37" s="881" t="s">
        <v>452</v>
      </c>
      <c r="C37" s="279" t="s">
        <v>453</v>
      </c>
      <c r="D37" s="278">
        <f>SUM(D38:D39)</f>
        <v>20203584</v>
      </c>
      <c r="E37" s="278">
        <f t="shared" ref="E37:F37" si="1">SUM(E38:E39)</f>
        <v>20203584</v>
      </c>
      <c r="F37" s="278">
        <f t="shared" si="1"/>
        <v>7988000</v>
      </c>
      <c r="G37" s="976"/>
    </row>
    <row r="38" spans="1:7" s="264" customFormat="1" ht="21.75" customHeight="1" x14ac:dyDescent="0.2">
      <c r="A38" s="254"/>
      <c r="B38" s="883" t="s">
        <v>528</v>
      </c>
      <c r="C38" s="438" t="s">
        <v>453</v>
      </c>
      <c r="D38" s="439">
        <v>2720080</v>
      </c>
      <c r="E38" s="439">
        <v>2720080</v>
      </c>
      <c r="F38" s="439"/>
      <c r="G38" s="979"/>
    </row>
    <row r="39" spans="1:7" s="264" customFormat="1" ht="21.75" customHeight="1" x14ac:dyDescent="0.2">
      <c r="A39" s="682"/>
      <c r="B39" s="884" t="s">
        <v>529</v>
      </c>
      <c r="C39" s="704" t="s">
        <v>453</v>
      </c>
      <c r="D39" s="869">
        <v>17483504</v>
      </c>
      <c r="E39" s="869">
        <v>17483504</v>
      </c>
      <c r="F39" s="869">
        <v>7988000</v>
      </c>
      <c r="G39" s="976"/>
    </row>
    <row r="40" spans="1:7" s="264" customFormat="1" ht="21.75" customHeight="1" x14ac:dyDescent="0.2">
      <c r="A40" s="705" t="s">
        <v>89</v>
      </c>
      <c r="B40" s="879" t="s">
        <v>454</v>
      </c>
      <c r="C40" s="280" t="s">
        <v>455</v>
      </c>
      <c r="D40" s="281">
        <f>SUM(D34+D37)</f>
        <v>20493579</v>
      </c>
      <c r="E40" s="281">
        <f>SUM(E34+E37)</f>
        <v>20493579</v>
      </c>
      <c r="F40" s="281">
        <f>SUM(F34+F37)</f>
        <v>8277995</v>
      </c>
      <c r="G40" s="976"/>
    </row>
    <row r="41" spans="1:7" s="264" customFormat="1" ht="21.75" customHeight="1" x14ac:dyDescent="0.2">
      <c r="A41" s="272" t="s">
        <v>93</v>
      </c>
      <c r="B41" s="879" t="s">
        <v>531</v>
      </c>
      <c r="C41" s="280" t="s">
        <v>194</v>
      </c>
      <c r="D41" s="281">
        <f>D40</f>
        <v>20493579</v>
      </c>
      <c r="E41" s="281">
        <f t="shared" ref="E41:F41" si="2">E40</f>
        <v>20493579</v>
      </c>
      <c r="F41" s="281">
        <f t="shared" si="2"/>
        <v>8277995</v>
      </c>
      <c r="G41" s="976"/>
    </row>
    <row r="42" spans="1:7" s="264" customFormat="1" ht="21.75" customHeight="1" x14ac:dyDescent="0.2">
      <c r="A42" s="272" t="s">
        <v>96</v>
      </c>
      <c r="B42" s="879" t="s">
        <v>457</v>
      </c>
      <c r="C42" s="282"/>
      <c r="D42" s="281">
        <f>D33+D41</f>
        <v>22023579</v>
      </c>
      <c r="E42" s="281">
        <f>E33+E41</f>
        <v>23347765</v>
      </c>
      <c r="F42" s="281">
        <f>F33+F41</f>
        <v>9378747</v>
      </c>
      <c r="G42" s="976"/>
    </row>
    <row r="43" spans="1:7" s="264" customFormat="1" ht="15" customHeight="1" x14ac:dyDescent="0.2">
      <c r="A43" s="283"/>
      <c r="B43" s="284"/>
      <c r="C43" s="285"/>
      <c r="D43" s="286"/>
      <c r="E43" s="286"/>
      <c r="F43" s="286"/>
      <c r="G43" s="976"/>
    </row>
    <row r="44" spans="1:7" s="264" customFormat="1" ht="15" customHeight="1" x14ac:dyDescent="0.2">
      <c r="A44" s="1174" t="s">
        <v>458</v>
      </c>
      <c r="B44" s="1174"/>
      <c r="C44" s="1174"/>
      <c r="D44" s="1174"/>
      <c r="E44" s="1174"/>
      <c r="F44" s="287"/>
      <c r="G44" s="976"/>
    </row>
    <row r="45" spans="1:7" s="264" customFormat="1" ht="38.25" customHeight="1" x14ac:dyDescent="0.2">
      <c r="A45" s="247" t="s">
        <v>365</v>
      </c>
      <c r="B45" s="247" t="s">
        <v>262</v>
      </c>
      <c r="C45" s="288" t="s">
        <v>421</v>
      </c>
      <c r="D45" s="247" t="s">
        <v>500</v>
      </c>
      <c r="E45" s="247" t="s">
        <v>936</v>
      </c>
      <c r="F45" s="247" t="s">
        <v>937</v>
      </c>
      <c r="G45" s="976"/>
    </row>
    <row r="46" spans="1:7" s="264" customFormat="1" ht="15" customHeight="1" x14ac:dyDescent="0.2">
      <c r="A46" s="289" t="s">
        <v>5</v>
      </c>
      <c r="B46" s="289" t="s">
        <v>6</v>
      </c>
      <c r="C46" s="289"/>
      <c r="D46" s="289" t="s">
        <v>8</v>
      </c>
      <c r="E46" s="289" t="s">
        <v>263</v>
      </c>
      <c r="F46" s="289" t="s">
        <v>422</v>
      </c>
      <c r="G46" s="976"/>
    </row>
    <row r="47" spans="1:7" s="264" customFormat="1" ht="24.75" customHeight="1" x14ac:dyDescent="0.2">
      <c r="A47" s="885" t="s">
        <v>9</v>
      </c>
      <c r="B47" s="886" t="s">
        <v>199</v>
      </c>
      <c r="C47" s="887" t="s">
        <v>200</v>
      </c>
      <c r="D47" s="888">
        <v>9642448</v>
      </c>
      <c r="E47" s="888">
        <v>11043948</v>
      </c>
      <c r="F47" s="888">
        <v>5024027</v>
      </c>
      <c r="G47" s="976"/>
    </row>
    <row r="48" spans="1:7" s="264" customFormat="1" ht="24.75" customHeight="1" x14ac:dyDescent="0.2">
      <c r="A48" s="889" t="s">
        <v>12</v>
      </c>
      <c r="B48" s="890" t="s">
        <v>201</v>
      </c>
      <c r="C48" s="891" t="s">
        <v>202</v>
      </c>
      <c r="D48" s="892">
        <v>1847023</v>
      </c>
      <c r="E48" s="892">
        <v>2120315.5</v>
      </c>
      <c r="F48" s="888">
        <v>1025543</v>
      </c>
      <c r="G48" s="976"/>
    </row>
    <row r="49" spans="1:7" s="264" customFormat="1" ht="24.75" customHeight="1" x14ac:dyDescent="0.2">
      <c r="A49" s="889" t="s">
        <v>15</v>
      </c>
      <c r="B49" s="890" t="s">
        <v>203</v>
      </c>
      <c r="C49" s="891" t="s">
        <v>204</v>
      </c>
      <c r="D49" s="892">
        <v>9684107.9921259843</v>
      </c>
      <c r="E49" s="892">
        <v>9333501.4921259806</v>
      </c>
      <c r="F49" s="888">
        <v>2373206</v>
      </c>
      <c r="G49" s="976"/>
    </row>
    <row r="50" spans="1:7" s="264" customFormat="1" ht="24.75" customHeight="1" x14ac:dyDescent="0.2">
      <c r="A50" s="889" t="s">
        <v>18</v>
      </c>
      <c r="B50" s="890" t="s">
        <v>205</v>
      </c>
      <c r="C50" s="891" t="s">
        <v>206</v>
      </c>
      <c r="D50" s="892"/>
      <c r="E50" s="892"/>
      <c r="F50" s="888"/>
      <c r="G50" s="976"/>
    </row>
    <row r="51" spans="1:7" s="264" customFormat="1" ht="24.75" customHeight="1" x14ac:dyDescent="0.2">
      <c r="A51" s="889" t="s">
        <v>21</v>
      </c>
      <c r="B51" s="890" t="s">
        <v>207</v>
      </c>
      <c r="C51" s="891" t="s">
        <v>208</v>
      </c>
      <c r="D51" s="892"/>
      <c r="E51" s="892"/>
      <c r="F51" s="888"/>
      <c r="G51" s="976"/>
    </row>
    <row r="52" spans="1:7" s="250" customFormat="1" ht="24.75" customHeight="1" x14ac:dyDescent="0.2">
      <c r="A52" s="893" t="s">
        <v>24</v>
      </c>
      <c r="B52" s="894" t="s">
        <v>459</v>
      </c>
      <c r="C52" s="895" t="s">
        <v>225</v>
      </c>
      <c r="D52" s="896">
        <f>SUM(D47:D51)</f>
        <v>21173578.992125984</v>
      </c>
      <c r="E52" s="896">
        <f>SUM(E47:E51)</f>
        <v>22497764.992125981</v>
      </c>
      <c r="F52" s="896">
        <f>SUM(F47:F51)</f>
        <v>8422776</v>
      </c>
      <c r="G52" s="980"/>
    </row>
    <row r="53" spans="1:7" s="304" customFormat="1" ht="24.75" customHeight="1" x14ac:dyDescent="0.2">
      <c r="A53" s="889" t="s">
        <v>27</v>
      </c>
      <c r="B53" s="890" t="s">
        <v>460</v>
      </c>
      <c r="C53" s="891" t="s">
        <v>227</v>
      </c>
      <c r="D53" s="892">
        <v>850000</v>
      </c>
      <c r="E53" s="892">
        <v>850000</v>
      </c>
      <c r="F53" s="892"/>
      <c r="G53" s="981"/>
    </row>
    <row r="54" spans="1:7" ht="24.75" customHeight="1" x14ac:dyDescent="0.2">
      <c r="A54" s="889" t="s">
        <v>30</v>
      </c>
      <c r="B54" s="890" t="s">
        <v>228</v>
      </c>
      <c r="C54" s="891" t="s">
        <v>229</v>
      </c>
      <c r="D54" s="892"/>
      <c r="E54" s="892"/>
      <c r="F54" s="892"/>
      <c r="G54" s="982"/>
    </row>
    <row r="55" spans="1:7" ht="24.75" customHeight="1" x14ac:dyDescent="0.2">
      <c r="A55" s="889" t="s">
        <v>33</v>
      </c>
      <c r="B55" s="890" t="s">
        <v>461</v>
      </c>
      <c r="C55" s="891" t="s">
        <v>231</v>
      </c>
      <c r="D55" s="892"/>
      <c r="E55" s="892"/>
      <c r="F55" s="892"/>
      <c r="G55" s="982"/>
    </row>
    <row r="56" spans="1:7" ht="24.75" customHeight="1" x14ac:dyDescent="0.2">
      <c r="A56" s="897" t="s">
        <v>36</v>
      </c>
      <c r="B56" s="898" t="s">
        <v>462</v>
      </c>
      <c r="C56" s="899" t="s">
        <v>243</v>
      </c>
      <c r="D56" s="900">
        <f>SUM(D53:D55)</f>
        <v>850000</v>
      </c>
      <c r="E56" s="900">
        <f>SUM(E53:E55)</f>
        <v>850000</v>
      </c>
      <c r="F56" s="896">
        <f>SUM(F53:F55)</f>
        <v>0</v>
      </c>
      <c r="G56" s="982"/>
    </row>
    <row r="57" spans="1:7" ht="24.75" customHeight="1" x14ac:dyDescent="0.2">
      <c r="A57" s="901" t="s">
        <v>38</v>
      </c>
      <c r="B57" s="902" t="s">
        <v>463</v>
      </c>
      <c r="C57" s="903" t="s">
        <v>464</v>
      </c>
      <c r="D57" s="904">
        <f>D52+D56</f>
        <v>22023578.992125984</v>
      </c>
      <c r="E57" s="904">
        <f>E52+E56</f>
        <v>23347764.992125981</v>
      </c>
      <c r="F57" s="904">
        <f>F52+F56</f>
        <v>8422776</v>
      </c>
      <c r="G57" s="982"/>
    </row>
    <row r="58" spans="1:7" ht="24.75" customHeight="1" x14ac:dyDescent="0.2">
      <c r="A58" s="887" t="s">
        <v>40</v>
      </c>
      <c r="B58" s="905" t="s">
        <v>465</v>
      </c>
      <c r="C58" s="906" t="s">
        <v>466</v>
      </c>
      <c r="D58" s="907"/>
      <c r="E58" s="907"/>
      <c r="F58" s="907">
        <f>SUM(D58:E58)</f>
        <v>0</v>
      </c>
      <c r="G58" s="982"/>
    </row>
    <row r="59" spans="1:7" ht="24.75" customHeight="1" x14ac:dyDescent="0.2">
      <c r="A59" s="903" t="s">
        <v>44</v>
      </c>
      <c r="B59" s="902" t="s">
        <v>530</v>
      </c>
      <c r="C59" s="903" t="s">
        <v>255</v>
      </c>
      <c r="D59" s="904">
        <f>SUM(D58:D58)</f>
        <v>0</v>
      </c>
      <c r="E59" s="904">
        <f>SUM(E58:E58)</f>
        <v>0</v>
      </c>
      <c r="F59" s="904">
        <f>SUM(F58:F58)</f>
        <v>0</v>
      </c>
      <c r="G59" s="982"/>
    </row>
    <row r="60" spans="1:7" ht="24.75" customHeight="1" x14ac:dyDescent="0.2">
      <c r="A60" s="908" t="s">
        <v>46</v>
      </c>
      <c r="B60" s="909" t="s">
        <v>467</v>
      </c>
      <c r="C60" s="903" t="s">
        <v>257</v>
      </c>
      <c r="D60" s="910">
        <f>SUM(D57+D59)</f>
        <v>22023578.992125984</v>
      </c>
      <c r="E60" s="910">
        <f>SUM(E57+E59)</f>
        <v>23347764.992125981</v>
      </c>
      <c r="F60" s="910">
        <f>SUM(F57+F59)</f>
        <v>8422776</v>
      </c>
      <c r="G60" s="982"/>
    </row>
    <row r="61" spans="1:7" ht="12" customHeight="1" x14ac:dyDescent="0.2">
      <c r="A61" s="315"/>
      <c r="B61" s="316"/>
      <c r="C61" s="317"/>
      <c r="D61" s="317"/>
      <c r="E61" s="317"/>
      <c r="F61" s="317"/>
      <c r="G61" s="982"/>
    </row>
    <row r="62" spans="1:7" ht="12" customHeight="1" x14ac:dyDescent="0.2">
      <c r="A62" s="315"/>
      <c r="B62" s="316"/>
      <c r="C62" s="317"/>
      <c r="D62" s="317"/>
      <c r="E62" s="317"/>
      <c r="F62" s="317"/>
      <c r="G62" s="982"/>
    </row>
    <row r="63" spans="1:7" x14ac:dyDescent="0.2">
      <c r="A63" s="318"/>
      <c r="B63" s="319"/>
      <c r="C63" s="319"/>
    </row>
    <row r="64" spans="1:7" x14ac:dyDescent="0.2">
      <c r="A64" s="318"/>
      <c r="B64" s="319"/>
      <c r="C64" s="319"/>
    </row>
    <row r="65" spans="1:3" x14ac:dyDescent="0.2">
      <c r="A65" s="318"/>
      <c r="B65" s="319"/>
      <c r="C65" s="319"/>
    </row>
  </sheetData>
  <mergeCells count="3">
    <mergeCell ref="A1:F1"/>
    <mergeCell ref="A5:F5"/>
    <mergeCell ref="A44:E4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3"/>
  <sheetViews>
    <sheetView workbookViewId="0">
      <selection sqref="A1:L1"/>
    </sheetView>
  </sheetViews>
  <sheetFormatPr defaultRowHeight="12.75" x14ac:dyDescent="0.2"/>
  <cols>
    <col min="1" max="1" width="6.6640625" style="224" customWidth="1"/>
    <col min="2" max="2" width="24.6640625" style="187" customWidth="1"/>
    <col min="3" max="3" width="13" style="187" customWidth="1"/>
    <col min="4" max="5" width="15.5" style="225" customWidth="1"/>
    <col min="6" max="6" width="11.5" style="225" customWidth="1"/>
    <col min="7" max="7" width="13" style="225" customWidth="1"/>
    <col min="8" max="9" width="14" style="225" customWidth="1"/>
    <col min="10" max="10" width="13.33203125" style="187" customWidth="1"/>
    <col min="11" max="11" width="16.83203125" style="187" customWidth="1"/>
    <col min="12" max="12" width="14.6640625" style="187" customWidth="1"/>
    <col min="13" max="257" width="9.33203125" style="187"/>
    <col min="258" max="258" width="6.6640625" style="187" customWidth="1"/>
    <col min="259" max="259" width="24.6640625" style="187" customWidth="1"/>
    <col min="260" max="260" width="13" style="187" customWidth="1"/>
    <col min="261" max="262" width="15.5" style="187" customWidth="1"/>
    <col min="263" max="263" width="11.5" style="187" customWidth="1"/>
    <col min="264" max="264" width="13" style="187" customWidth="1"/>
    <col min="265" max="266" width="14" style="187" customWidth="1"/>
    <col min="267" max="267" width="13.33203125" style="187" customWidth="1"/>
    <col min="268" max="268" width="14.6640625" style="187" customWidth="1"/>
    <col min="269" max="513" width="9.33203125" style="187"/>
    <col min="514" max="514" width="6.6640625" style="187" customWidth="1"/>
    <col min="515" max="515" width="24.6640625" style="187" customWidth="1"/>
    <col min="516" max="516" width="13" style="187" customWidth="1"/>
    <col min="517" max="518" width="15.5" style="187" customWidth="1"/>
    <col min="519" max="519" width="11.5" style="187" customWidth="1"/>
    <col min="520" max="520" width="13" style="187" customWidth="1"/>
    <col min="521" max="522" width="14" style="187" customWidth="1"/>
    <col min="523" max="523" width="13.33203125" style="187" customWidth="1"/>
    <col min="524" max="524" width="14.6640625" style="187" customWidth="1"/>
    <col min="525" max="769" width="9.33203125" style="187"/>
    <col min="770" max="770" width="6.6640625" style="187" customWidth="1"/>
    <col min="771" max="771" width="24.6640625" style="187" customWidth="1"/>
    <col min="772" max="772" width="13" style="187" customWidth="1"/>
    <col min="773" max="774" width="15.5" style="187" customWidth="1"/>
    <col min="775" max="775" width="11.5" style="187" customWidth="1"/>
    <col min="776" max="776" width="13" style="187" customWidth="1"/>
    <col min="777" max="778" width="14" style="187" customWidth="1"/>
    <col min="779" max="779" width="13.33203125" style="187" customWidth="1"/>
    <col min="780" max="780" width="14.6640625" style="187" customWidth="1"/>
    <col min="781" max="1025" width="9.33203125" style="187"/>
    <col min="1026" max="1026" width="6.6640625" style="187" customWidth="1"/>
    <col min="1027" max="1027" width="24.6640625" style="187" customWidth="1"/>
    <col min="1028" max="1028" width="13" style="187" customWidth="1"/>
    <col min="1029" max="1030" width="15.5" style="187" customWidth="1"/>
    <col min="1031" max="1031" width="11.5" style="187" customWidth="1"/>
    <col min="1032" max="1032" width="13" style="187" customWidth="1"/>
    <col min="1033" max="1034" width="14" style="187" customWidth="1"/>
    <col min="1035" max="1035" width="13.33203125" style="187" customWidth="1"/>
    <col min="1036" max="1036" width="14.6640625" style="187" customWidth="1"/>
    <col min="1037" max="1281" width="9.33203125" style="187"/>
    <col min="1282" max="1282" width="6.6640625" style="187" customWidth="1"/>
    <col min="1283" max="1283" width="24.6640625" style="187" customWidth="1"/>
    <col min="1284" max="1284" width="13" style="187" customWidth="1"/>
    <col min="1285" max="1286" width="15.5" style="187" customWidth="1"/>
    <col min="1287" max="1287" width="11.5" style="187" customWidth="1"/>
    <col min="1288" max="1288" width="13" style="187" customWidth="1"/>
    <col min="1289" max="1290" width="14" style="187" customWidth="1"/>
    <col min="1291" max="1291" width="13.33203125" style="187" customWidth="1"/>
    <col min="1292" max="1292" width="14.6640625" style="187" customWidth="1"/>
    <col min="1293" max="1537" width="9.33203125" style="187"/>
    <col min="1538" max="1538" width="6.6640625" style="187" customWidth="1"/>
    <col min="1539" max="1539" width="24.6640625" style="187" customWidth="1"/>
    <col min="1540" max="1540" width="13" style="187" customWidth="1"/>
    <col min="1541" max="1542" width="15.5" style="187" customWidth="1"/>
    <col min="1543" max="1543" width="11.5" style="187" customWidth="1"/>
    <col min="1544" max="1544" width="13" style="187" customWidth="1"/>
    <col min="1545" max="1546" width="14" style="187" customWidth="1"/>
    <col min="1547" max="1547" width="13.33203125" style="187" customWidth="1"/>
    <col min="1548" max="1548" width="14.6640625" style="187" customWidth="1"/>
    <col min="1549" max="1793" width="9.33203125" style="187"/>
    <col min="1794" max="1794" width="6.6640625" style="187" customWidth="1"/>
    <col min="1795" max="1795" width="24.6640625" style="187" customWidth="1"/>
    <col min="1796" max="1796" width="13" style="187" customWidth="1"/>
    <col min="1797" max="1798" width="15.5" style="187" customWidth="1"/>
    <col min="1799" max="1799" width="11.5" style="187" customWidth="1"/>
    <col min="1800" max="1800" width="13" style="187" customWidth="1"/>
    <col min="1801" max="1802" width="14" style="187" customWidth="1"/>
    <col min="1803" max="1803" width="13.33203125" style="187" customWidth="1"/>
    <col min="1804" max="1804" width="14.6640625" style="187" customWidth="1"/>
    <col min="1805" max="2049" width="9.33203125" style="187"/>
    <col min="2050" max="2050" width="6.6640625" style="187" customWidth="1"/>
    <col min="2051" max="2051" width="24.6640625" style="187" customWidth="1"/>
    <col min="2052" max="2052" width="13" style="187" customWidth="1"/>
    <col min="2053" max="2054" width="15.5" style="187" customWidth="1"/>
    <col min="2055" max="2055" width="11.5" style="187" customWidth="1"/>
    <col min="2056" max="2056" width="13" style="187" customWidth="1"/>
    <col min="2057" max="2058" width="14" style="187" customWidth="1"/>
    <col min="2059" max="2059" width="13.33203125" style="187" customWidth="1"/>
    <col min="2060" max="2060" width="14.6640625" style="187" customWidth="1"/>
    <col min="2061" max="2305" width="9.33203125" style="187"/>
    <col min="2306" max="2306" width="6.6640625" style="187" customWidth="1"/>
    <col min="2307" max="2307" width="24.6640625" style="187" customWidth="1"/>
    <col min="2308" max="2308" width="13" style="187" customWidth="1"/>
    <col min="2309" max="2310" width="15.5" style="187" customWidth="1"/>
    <col min="2311" max="2311" width="11.5" style="187" customWidth="1"/>
    <col min="2312" max="2312" width="13" style="187" customWidth="1"/>
    <col min="2313" max="2314" width="14" style="187" customWidth="1"/>
    <col min="2315" max="2315" width="13.33203125" style="187" customWidth="1"/>
    <col min="2316" max="2316" width="14.6640625" style="187" customWidth="1"/>
    <col min="2317" max="2561" width="9.33203125" style="187"/>
    <col min="2562" max="2562" width="6.6640625" style="187" customWidth="1"/>
    <col min="2563" max="2563" width="24.6640625" style="187" customWidth="1"/>
    <col min="2564" max="2564" width="13" style="187" customWidth="1"/>
    <col min="2565" max="2566" width="15.5" style="187" customWidth="1"/>
    <col min="2567" max="2567" width="11.5" style="187" customWidth="1"/>
    <col min="2568" max="2568" width="13" style="187" customWidth="1"/>
    <col min="2569" max="2570" width="14" style="187" customWidth="1"/>
    <col min="2571" max="2571" width="13.33203125" style="187" customWidth="1"/>
    <col min="2572" max="2572" width="14.6640625" style="187" customWidth="1"/>
    <col min="2573" max="2817" width="9.33203125" style="187"/>
    <col min="2818" max="2818" width="6.6640625" style="187" customWidth="1"/>
    <col min="2819" max="2819" width="24.6640625" style="187" customWidth="1"/>
    <col min="2820" max="2820" width="13" style="187" customWidth="1"/>
    <col min="2821" max="2822" width="15.5" style="187" customWidth="1"/>
    <col min="2823" max="2823" width="11.5" style="187" customWidth="1"/>
    <col min="2824" max="2824" width="13" style="187" customWidth="1"/>
    <col min="2825" max="2826" width="14" style="187" customWidth="1"/>
    <col min="2827" max="2827" width="13.33203125" style="187" customWidth="1"/>
    <col min="2828" max="2828" width="14.6640625" style="187" customWidth="1"/>
    <col min="2829" max="3073" width="9.33203125" style="187"/>
    <col min="3074" max="3074" width="6.6640625" style="187" customWidth="1"/>
    <col min="3075" max="3075" width="24.6640625" style="187" customWidth="1"/>
    <col min="3076" max="3076" width="13" style="187" customWidth="1"/>
    <col min="3077" max="3078" width="15.5" style="187" customWidth="1"/>
    <col min="3079" max="3079" width="11.5" style="187" customWidth="1"/>
    <col min="3080" max="3080" width="13" style="187" customWidth="1"/>
    <col min="3081" max="3082" width="14" style="187" customWidth="1"/>
    <col min="3083" max="3083" width="13.33203125" style="187" customWidth="1"/>
    <col min="3084" max="3084" width="14.6640625" style="187" customWidth="1"/>
    <col min="3085" max="3329" width="9.33203125" style="187"/>
    <col min="3330" max="3330" width="6.6640625" style="187" customWidth="1"/>
    <col min="3331" max="3331" width="24.6640625" style="187" customWidth="1"/>
    <col min="3332" max="3332" width="13" style="187" customWidth="1"/>
    <col min="3333" max="3334" width="15.5" style="187" customWidth="1"/>
    <col min="3335" max="3335" width="11.5" style="187" customWidth="1"/>
    <col min="3336" max="3336" width="13" style="187" customWidth="1"/>
    <col min="3337" max="3338" width="14" style="187" customWidth="1"/>
    <col min="3339" max="3339" width="13.33203125" style="187" customWidth="1"/>
    <col min="3340" max="3340" width="14.6640625" style="187" customWidth="1"/>
    <col min="3341" max="3585" width="9.33203125" style="187"/>
    <col min="3586" max="3586" width="6.6640625" style="187" customWidth="1"/>
    <col min="3587" max="3587" width="24.6640625" style="187" customWidth="1"/>
    <col min="3588" max="3588" width="13" style="187" customWidth="1"/>
    <col min="3589" max="3590" width="15.5" style="187" customWidth="1"/>
    <col min="3591" max="3591" width="11.5" style="187" customWidth="1"/>
    <col min="3592" max="3592" width="13" style="187" customWidth="1"/>
    <col min="3593" max="3594" width="14" style="187" customWidth="1"/>
    <col min="3595" max="3595" width="13.33203125" style="187" customWidth="1"/>
    <col min="3596" max="3596" width="14.6640625" style="187" customWidth="1"/>
    <col min="3597" max="3841" width="9.33203125" style="187"/>
    <col min="3842" max="3842" width="6.6640625" style="187" customWidth="1"/>
    <col min="3843" max="3843" width="24.6640625" style="187" customWidth="1"/>
    <col min="3844" max="3844" width="13" style="187" customWidth="1"/>
    <col min="3845" max="3846" width="15.5" style="187" customWidth="1"/>
    <col min="3847" max="3847" width="11.5" style="187" customWidth="1"/>
    <col min="3848" max="3848" width="13" style="187" customWidth="1"/>
    <col min="3849" max="3850" width="14" style="187" customWidth="1"/>
    <col min="3851" max="3851" width="13.33203125" style="187" customWidth="1"/>
    <col min="3852" max="3852" width="14.6640625" style="187" customWidth="1"/>
    <col min="3853" max="4097" width="9.33203125" style="187"/>
    <col min="4098" max="4098" width="6.6640625" style="187" customWidth="1"/>
    <col min="4099" max="4099" width="24.6640625" style="187" customWidth="1"/>
    <col min="4100" max="4100" width="13" style="187" customWidth="1"/>
    <col min="4101" max="4102" width="15.5" style="187" customWidth="1"/>
    <col min="4103" max="4103" width="11.5" style="187" customWidth="1"/>
    <col min="4104" max="4104" width="13" style="187" customWidth="1"/>
    <col min="4105" max="4106" width="14" style="187" customWidth="1"/>
    <col min="4107" max="4107" width="13.33203125" style="187" customWidth="1"/>
    <col min="4108" max="4108" width="14.6640625" style="187" customWidth="1"/>
    <col min="4109" max="4353" width="9.33203125" style="187"/>
    <col min="4354" max="4354" width="6.6640625" style="187" customWidth="1"/>
    <col min="4355" max="4355" width="24.6640625" style="187" customWidth="1"/>
    <col min="4356" max="4356" width="13" style="187" customWidth="1"/>
    <col min="4357" max="4358" width="15.5" style="187" customWidth="1"/>
    <col min="4359" max="4359" width="11.5" style="187" customWidth="1"/>
    <col min="4360" max="4360" width="13" style="187" customWidth="1"/>
    <col min="4361" max="4362" width="14" style="187" customWidth="1"/>
    <col min="4363" max="4363" width="13.33203125" style="187" customWidth="1"/>
    <col min="4364" max="4364" width="14.6640625" style="187" customWidth="1"/>
    <col min="4365" max="4609" width="9.33203125" style="187"/>
    <col min="4610" max="4610" width="6.6640625" style="187" customWidth="1"/>
    <col min="4611" max="4611" width="24.6640625" style="187" customWidth="1"/>
    <col min="4612" max="4612" width="13" style="187" customWidth="1"/>
    <col min="4613" max="4614" width="15.5" style="187" customWidth="1"/>
    <col min="4615" max="4615" width="11.5" style="187" customWidth="1"/>
    <col min="4616" max="4616" width="13" style="187" customWidth="1"/>
    <col min="4617" max="4618" width="14" style="187" customWidth="1"/>
    <col min="4619" max="4619" width="13.33203125" style="187" customWidth="1"/>
    <col min="4620" max="4620" width="14.6640625" style="187" customWidth="1"/>
    <col min="4621" max="4865" width="9.33203125" style="187"/>
    <col min="4866" max="4866" width="6.6640625" style="187" customWidth="1"/>
    <col min="4867" max="4867" width="24.6640625" style="187" customWidth="1"/>
    <col min="4868" max="4868" width="13" style="187" customWidth="1"/>
    <col min="4869" max="4870" width="15.5" style="187" customWidth="1"/>
    <col min="4871" max="4871" width="11.5" style="187" customWidth="1"/>
    <col min="4872" max="4872" width="13" style="187" customWidth="1"/>
    <col min="4873" max="4874" width="14" style="187" customWidth="1"/>
    <col min="4875" max="4875" width="13.33203125" style="187" customWidth="1"/>
    <col min="4876" max="4876" width="14.6640625" style="187" customWidth="1"/>
    <col min="4877" max="5121" width="9.33203125" style="187"/>
    <col min="5122" max="5122" width="6.6640625" style="187" customWidth="1"/>
    <col min="5123" max="5123" width="24.6640625" style="187" customWidth="1"/>
    <col min="5124" max="5124" width="13" style="187" customWidth="1"/>
    <col min="5125" max="5126" width="15.5" style="187" customWidth="1"/>
    <col min="5127" max="5127" width="11.5" style="187" customWidth="1"/>
    <col min="5128" max="5128" width="13" style="187" customWidth="1"/>
    <col min="5129" max="5130" width="14" style="187" customWidth="1"/>
    <col min="5131" max="5131" width="13.33203125" style="187" customWidth="1"/>
    <col min="5132" max="5132" width="14.6640625" style="187" customWidth="1"/>
    <col min="5133" max="5377" width="9.33203125" style="187"/>
    <col min="5378" max="5378" width="6.6640625" style="187" customWidth="1"/>
    <col min="5379" max="5379" width="24.6640625" style="187" customWidth="1"/>
    <col min="5380" max="5380" width="13" style="187" customWidth="1"/>
    <col min="5381" max="5382" width="15.5" style="187" customWidth="1"/>
    <col min="5383" max="5383" width="11.5" style="187" customWidth="1"/>
    <col min="5384" max="5384" width="13" style="187" customWidth="1"/>
    <col min="5385" max="5386" width="14" style="187" customWidth="1"/>
    <col min="5387" max="5387" width="13.33203125" style="187" customWidth="1"/>
    <col min="5388" max="5388" width="14.6640625" style="187" customWidth="1"/>
    <col min="5389" max="5633" width="9.33203125" style="187"/>
    <col min="5634" max="5634" width="6.6640625" style="187" customWidth="1"/>
    <col min="5635" max="5635" width="24.6640625" style="187" customWidth="1"/>
    <col min="5636" max="5636" width="13" style="187" customWidth="1"/>
    <col min="5637" max="5638" width="15.5" style="187" customWidth="1"/>
    <col min="5639" max="5639" width="11.5" style="187" customWidth="1"/>
    <col min="5640" max="5640" width="13" style="187" customWidth="1"/>
    <col min="5641" max="5642" width="14" style="187" customWidth="1"/>
    <col min="5643" max="5643" width="13.33203125" style="187" customWidth="1"/>
    <col min="5644" max="5644" width="14.6640625" style="187" customWidth="1"/>
    <col min="5645" max="5889" width="9.33203125" style="187"/>
    <col min="5890" max="5890" width="6.6640625" style="187" customWidth="1"/>
    <col min="5891" max="5891" width="24.6640625" style="187" customWidth="1"/>
    <col min="5892" max="5892" width="13" style="187" customWidth="1"/>
    <col min="5893" max="5894" width="15.5" style="187" customWidth="1"/>
    <col min="5895" max="5895" width="11.5" style="187" customWidth="1"/>
    <col min="5896" max="5896" width="13" style="187" customWidth="1"/>
    <col min="5897" max="5898" width="14" style="187" customWidth="1"/>
    <col min="5899" max="5899" width="13.33203125" style="187" customWidth="1"/>
    <col min="5900" max="5900" width="14.6640625" style="187" customWidth="1"/>
    <col min="5901" max="6145" width="9.33203125" style="187"/>
    <col min="6146" max="6146" width="6.6640625" style="187" customWidth="1"/>
    <col min="6147" max="6147" width="24.6640625" style="187" customWidth="1"/>
    <col min="6148" max="6148" width="13" style="187" customWidth="1"/>
    <col min="6149" max="6150" width="15.5" style="187" customWidth="1"/>
    <col min="6151" max="6151" width="11.5" style="187" customWidth="1"/>
    <col min="6152" max="6152" width="13" style="187" customWidth="1"/>
    <col min="6153" max="6154" width="14" style="187" customWidth="1"/>
    <col min="6155" max="6155" width="13.33203125" style="187" customWidth="1"/>
    <col min="6156" max="6156" width="14.6640625" style="187" customWidth="1"/>
    <col min="6157" max="6401" width="9.33203125" style="187"/>
    <col min="6402" max="6402" width="6.6640625" style="187" customWidth="1"/>
    <col min="6403" max="6403" width="24.6640625" style="187" customWidth="1"/>
    <col min="6404" max="6404" width="13" style="187" customWidth="1"/>
    <col min="6405" max="6406" width="15.5" style="187" customWidth="1"/>
    <col min="6407" max="6407" width="11.5" style="187" customWidth="1"/>
    <col min="6408" max="6408" width="13" style="187" customWidth="1"/>
    <col min="6409" max="6410" width="14" style="187" customWidth="1"/>
    <col min="6411" max="6411" width="13.33203125" style="187" customWidth="1"/>
    <col min="6412" max="6412" width="14.6640625" style="187" customWidth="1"/>
    <col min="6413" max="6657" width="9.33203125" style="187"/>
    <col min="6658" max="6658" width="6.6640625" style="187" customWidth="1"/>
    <col min="6659" max="6659" width="24.6640625" style="187" customWidth="1"/>
    <col min="6660" max="6660" width="13" style="187" customWidth="1"/>
    <col min="6661" max="6662" width="15.5" style="187" customWidth="1"/>
    <col min="6663" max="6663" width="11.5" style="187" customWidth="1"/>
    <col min="6664" max="6664" width="13" style="187" customWidth="1"/>
    <col min="6665" max="6666" width="14" style="187" customWidth="1"/>
    <col min="6667" max="6667" width="13.33203125" style="187" customWidth="1"/>
    <col min="6668" max="6668" width="14.6640625" style="187" customWidth="1"/>
    <col min="6669" max="6913" width="9.33203125" style="187"/>
    <col min="6914" max="6914" width="6.6640625" style="187" customWidth="1"/>
    <col min="6915" max="6915" width="24.6640625" style="187" customWidth="1"/>
    <col min="6916" max="6916" width="13" style="187" customWidth="1"/>
    <col min="6917" max="6918" width="15.5" style="187" customWidth="1"/>
    <col min="6919" max="6919" width="11.5" style="187" customWidth="1"/>
    <col min="6920" max="6920" width="13" style="187" customWidth="1"/>
    <col min="6921" max="6922" width="14" style="187" customWidth="1"/>
    <col min="6923" max="6923" width="13.33203125" style="187" customWidth="1"/>
    <col min="6924" max="6924" width="14.6640625" style="187" customWidth="1"/>
    <col min="6925" max="7169" width="9.33203125" style="187"/>
    <col min="7170" max="7170" width="6.6640625" style="187" customWidth="1"/>
    <col min="7171" max="7171" width="24.6640625" style="187" customWidth="1"/>
    <col min="7172" max="7172" width="13" style="187" customWidth="1"/>
    <col min="7173" max="7174" width="15.5" style="187" customWidth="1"/>
    <col min="7175" max="7175" width="11.5" style="187" customWidth="1"/>
    <col min="7176" max="7176" width="13" style="187" customWidth="1"/>
    <col min="7177" max="7178" width="14" style="187" customWidth="1"/>
    <col min="7179" max="7179" width="13.33203125" style="187" customWidth="1"/>
    <col min="7180" max="7180" width="14.6640625" style="187" customWidth="1"/>
    <col min="7181" max="7425" width="9.33203125" style="187"/>
    <col min="7426" max="7426" width="6.6640625" style="187" customWidth="1"/>
    <col min="7427" max="7427" width="24.6640625" style="187" customWidth="1"/>
    <col min="7428" max="7428" width="13" style="187" customWidth="1"/>
    <col min="7429" max="7430" width="15.5" style="187" customWidth="1"/>
    <col min="7431" max="7431" width="11.5" style="187" customWidth="1"/>
    <col min="7432" max="7432" width="13" style="187" customWidth="1"/>
    <col min="7433" max="7434" width="14" style="187" customWidth="1"/>
    <col min="7435" max="7435" width="13.33203125" style="187" customWidth="1"/>
    <col min="7436" max="7436" width="14.6640625" style="187" customWidth="1"/>
    <col min="7437" max="7681" width="9.33203125" style="187"/>
    <col min="7682" max="7682" width="6.6640625" style="187" customWidth="1"/>
    <col min="7683" max="7683" width="24.6640625" style="187" customWidth="1"/>
    <col min="7684" max="7684" width="13" style="187" customWidth="1"/>
    <col min="7685" max="7686" width="15.5" style="187" customWidth="1"/>
    <col min="7687" max="7687" width="11.5" style="187" customWidth="1"/>
    <col min="7688" max="7688" width="13" style="187" customWidth="1"/>
    <col min="7689" max="7690" width="14" style="187" customWidth="1"/>
    <col min="7691" max="7691" width="13.33203125" style="187" customWidth="1"/>
    <col min="7692" max="7692" width="14.6640625" style="187" customWidth="1"/>
    <col min="7693" max="7937" width="9.33203125" style="187"/>
    <col min="7938" max="7938" width="6.6640625" style="187" customWidth="1"/>
    <col min="7939" max="7939" width="24.6640625" style="187" customWidth="1"/>
    <col min="7940" max="7940" width="13" style="187" customWidth="1"/>
    <col min="7941" max="7942" width="15.5" style="187" customWidth="1"/>
    <col min="7943" max="7943" width="11.5" style="187" customWidth="1"/>
    <col min="7944" max="7944" width="13" style="187" customWidth="1"/>
    <col min="7945" max="7946" width="14" style="187" customWidth="1"/>
    <col min="7947" max="7947" width="13.33203125" style="187" customWidth="1"/>
    <col min="7948" max="7948" width="14.6640625" style="187" customWidth="1"/>
    <col min="7949" max="8193" width="9.33203125" style="187"/>
    <col min="8194" max="8194" width="6.6640625" style="187" customWidth="1"/>
    <col min="8195" max="8195" width="24.6640625" style="187" customWidth="1"/>
    <col min="8196" max="8196" width="13" style="187" customWidth="1"/>
    <col min="8197" max="8198" width="15.5" style="187" customWidth="1"/>
    <col min="8199" max="8199" width="11.5" style="187" customWidth="1"/>
    <col min="8200" max="8200" width="13" style="187" customWidth="1"/>
    <col min="8201" max="8202" width="14" style="187" customWidth="1"/>
    <col min="8203" max="8203" width="13.33203125" style="187" customWidth="1"/>
    <col min="8204" max="8204" width="14.6640625" style="187" customWidth="1"/>
    <col min="8205" max="8449" width="9.33203125" style="187"/>
    <col min="8450" max="8450" width="6.6640625" style="187" customWidth="1"/>
    <col min="8451" max="8451" width="24.6640625" style="187" customWidth="1"/>
    <col min="8452" max="8452" width="13" style="187" customWidth="1"/>
    <col min="8453" max="8454" width="15.5" style="187" customWidth="1"/>
    <col min="8455" max="8455" width="11.5" style="187" customWidth="1"/>
    <col min="8456" max="8456" width="13" style="187" customWidth="1"/>
    <col min="8457" max="8458" width="14" style="187" customWidth="1"/>
    <col min="8459" max="8459" width="13.33203125" style="187" customWidth="1"/>
    <col min="8460" max="8460" width="14.6640625" style="187" customWidth="1"/>
    <col min="8461" max="8705" width="9.33203125" style="187"/>
    <col min="8706" max="8706" width="6.6640625" style="187" customWidth="1"/>
    <col min="8707" max="8707" width="24.6640625" style="187" customWidth="1"/>
    <col min="8708" max="8708" width="13" style="187" customWidth="1"/>
    <col min="8709" max="8710" width="15.5" style="187" customWidth="1"/>
    <col min="8711" max="8711" width="11.5" style="187" customWidth="1"/>
    <col min="8712" max="8712" width="13" style="187" customWidth="1"/>
    <col min="8713" max="8714" width="14" style="187" customWidth="1"/>
    <col min="8715" max="8715" width="13.33203125" style="187" customWidth="1"/>
    <col min="8716" max="8716" width="14.6640625" style="187" customWidth="1"/>
    <col min="8717" max="8961" width="9.33203125" style="187"/>
    <col min="8962" max="8962" width="6.6640625" style="187" customWidth="1"/>
    <col min="8963" max="8963" width="24.6640625" style="187" customWidth="1"/>
    <col min="8964" max="8964" width="13" style="187" customWidth="1"/>
    <col min="8965" max="8966" width="15.5" style="187" customWidth="1"/>
    <col min="8967" max="8967" width="11.5" style="187" customWidth="1"/>
    <col min="8968" max="8968" width="13" style="187" customWidth="1"/>
    <col min="8969" max="8970" width="14" style="187" customWidth="1"/>
    <col min="8971" max="8971" width="13.33203125" style="187" customWidth="1"/>
    <col min="8972" max="8972" width="14.6640625" style="187" customWidth="1"/>
    <col min="8973" max="9217" width="9.33203125" style="187"/>
    <col min="9218" max="9218" width="6.6640625" style="187" customWidth="1"/>
    <col min="9219" max="9219" width="24.6640625" style="187" customWidth="1"/>
    <col min="9220" max="9220" width="13" style="187" customWidth="1"/>
    <col min="9221" max="9222" width="15.5" style="187" customWidth="1"/>
    <col min="9223" max="9223" width="11.5" style="187" customWidth="1"/>
    <col min="9224" max="9224" width="13" style="187" customWidth="1"/>
    <col min="9225" max="9226" width="14" style="187" customWidth="1"/>
    <col min="9227" max="9227" width="13.33203125" style="187" customWidth="1"/>
    <col min="9228" max="9228" width="14.6640625" style="187" customWidth="1"/>
    <col min="9229" max="9473" width="9.33203125" style="187"/>
    <col min="9474" max="9474" width="6.6640625" style="187" customWidth="1"/>
    <col min="9475" max="9475" width="24.6640625" style="187" customWidth="1"/>
    <col min="9476" max="9476" width="13" style="187" customWidth="1"/>
    <col min="9477" max="9478" width="15.5" style="187" customWidth="1"/>
    <col min="9479" max="9479" width="11.5" style="187" customWidth="1"/>
    <col min="9480" max="9480" width="13" style="187" customWidth="1"/>
    <col min="9481" max="9482" width="14" style="187" customWidth="1"/>
    <col min="9483" max="9483" width="13.33203125" style="187" customWidth="1"/>
    <col min="9484" max="9484" width="14.6640625" style="187" customWidth="1"/>
    <col min="9485" max="9729" width="9.33203125" style="187"/>
    <col min="9730" max="9730" width="6.6640625" style="187" customWidth="1"/>
    <col min="9731" max="9731" width="24.6640625" style="187" customWidth="1"/>
    <col min="9732" max="9732" width="13" style="187" customWidth="1"/>
    <col min="9733" max="9734" width="15.5" style="187" customWidth="1"/>
    <col min="9735" max="9735" width="11.5" style="187" customWidth="1"/>
    <col min="9736" max="9736" width="13" style="187" customWidth="1"/>
    <col min="9737" max="9738" width="14" style="187" customWidth="1"/>
    <col min="9739" max="9739" width="13.33203125" style="187" customWidth="1"/>
    <col min="9740" max="9740" width="14.6640625" style="187" customWidth="1"/>
    <col min="9741" max="9985" width="9.33203125" style="187"/>
    <col min="9986" max="9986" width="6.6640625" style="187" customWidth="1"/>
    <col min="9987" max="9987" width="24.6640625" style="187" customWidth="1"/>
    <col min="9988" max="9988" width="13" style="187" customWidth="1"/>
    <col min="9989" max="9990" width="15.5" style="187" customWidth="1"/>
    <col min="9991" max="9991" width="11.5" style="187" customWidth="1"/>
    <col min="9992" max="9992" width="13" style="187" customWidth="1"/>
    <col min="9993" max="9994" width="14" style="187" customWidth="1"/>
    <col min="9995" max="9995" width="13.33203125" style="187" customWidth="1"/>
    <col min="9996" max="9996" width="14.6640625" style="187" customWidth="1"/>
    <col min="9997" max="10241" width="9.33203125" style="187"/>
    <col min="10242" max="10242" width="6.6640625" style="187" customWidth="1"/>
    <col min="10243" max="10243" width="24.6640625" style="187" customWidth="1"/>
    <col min="10244" max="10244" width="13" style="187" customWidth="1"/>
    <col min="10245" max="10246" width="15.5" style="187" customWidth="1"/>
    <col min="10247" max="10247" width="11.5" style="187" customWidth="1"/>
    <col min="10248" max="10248" width="13" style="187" customWidth="1"/>
    <col min="10249" max="10250" width="14" style="187" customWidth="1"/>
    <col min="10251" max="10251" width="13.33203125" style="187" customWidth="1"/>
    <col min="10252" max="10252" width="14.6640625" style="187" customWidth="1"/>
    <col min="10253" max="10497" width="9.33203125" style="187"/>
    <col min="10498" max="10498" width="6.6640625" style="187" customWidth="1"/>
    <col min="10499" max="10499" width="24.6640625" style="187" customWidth="1"/>
    <col min="10500" max="10500" width="13" style="187" customWidth="1"/>
    <col min="10501" max="10502" width="15.5" style="187" customWidth="1"/>
    <col min="10503" max="10503" width="11.5" style="187" customWidth="1"/>
    <col min="10504" max="10504" width="13" style="187" customWidth="1"/>
    <col min="10505" max="10506" width="14" style="187" customWidth="1"/>
    <col min="10507" max="10507" width="13.33203125" style="187" customWidth="1"/>
    <col min="10508" max="10508" width="14.6640625" style="187" customWidth="1"/>
    <col min="10509" max="10753" width="9.33203125" style="187"/>
    <col min="10754" max="10754" width="6.6640625" style="187" customWidth="1"/>
    <col min="10755" max="10755" width="24.6640625" style="187" customWidth="1"/>
    <col min="10756" max="10756" width="13" style="187" customWidth="1"/>
    <col min="10757" max="10758" width="15.5" style="187" customWidth="1"/>
    <col min="10759" max="10759" width="11.5" style="187" customWidth="1"/>
    <col min="10760" max="10760" width="13" style="187" customWidth="1"/>
    <col min="10761" max="10762" width="14" style="187" customWidth="1"/>
    <col min="10763" max="10763" width="13.33203125" style="187" customWidth="1"/>
    <col min="10764" max="10764" width="14.6640625" style="187" customWidth="1"/>
    <col min="10765" max="11009" width="9.33203125" style="187"/>
    <col min="11010" max="11010" width="6.6640625" style="187" customWidth="1"/>
    <col min="11011" max="11011" width="24.6640625" style="187" customWidth="1"/>
    <col min="11012" max="11012" width="13" style="187" customWidth="1"/>
    <col min="11013" max="11014" width="15.5" style="187" customWidth="1"/>
    <col min="11015" max="11015" width="11.5" style="187" customWidth="1"/>
    <col min="11016" max="11016" width="13" style="187" customWidth="1"/>
    <col min="11017" max="11018" width="14" style="187" customWidth="1"/>
    <col min="11019" max="11019" width="13.33203125" style="187" customWidth="1"/>
    <col min="11020" max="11020" width="14.6640625" style="187" customWidth="1"/>
    <col min="11021" max="11265" width="9.33203125" style="187"/>
    <col min="11266" max="11266" width="6.6640625" style="187" customWidth="1"/>
    <col min="11267" max="11267" width="24.6640625" style="187" customWidth="1"/>
    <col min="11268" max="11268" width="13" style="187" customWidth="1"/>
    <col min="11269" max="11270" width="15.5" style="187" customWidth="1"/>
    <col min="11271" max="11271" width="11.5" style="187" customWidth="1"/>
    <col min="11272" max="11272" width="13" style="187" customWidth="1"/>
    <col min="11273" max="11274" width="14" style="187" customWidth="1"/>
    <col min="11275" max="11275" width="13.33203125" style="187" customWidth="1"/>
    <col min="11276" max="11276" width="14.6640625" style="187" customWidth="1"/>
    <col min="11277" max="11521" width="9.33203125" style="187"/>
    <col min="11522" max="11522" width="6.6640625" style="187" customWidth="1"/>
    <col min="11523" max="11523" width="24.6640625" style="187" customWidth="1"/>
    <col min="11524" max="11524" width="13" style="187" customWidth="1"/>
    <col min="11525" max="11526" width="15.5" style="187" customWidth="1"/>
    <col min="11527" max="11527" width="11.5" style="187" customWidth="1"/>
    <col min="11528" max="11528" width="13" style="187" customWidth="1"/>
    <col min="11529" max="11530" width="14" style="187" customWidth="1"/>
    <col min="11531" max="11531" width="13.33203125" style="187" customWidth="1"/>
    <col min="11532" max="11532" width="14.6640625" style="187" customWidth="1"/>
    <col min="11533" max="11777" width="9.33203125" style="187"/>
    <col min="11778" max="11778" width="6.6640625" style="187" customWidth="1"/>
    <col min="11779" max="11779" width="24.6640625" style="187" customWidth="1"/>
    <col min="11780" max="11780" width="13" style="187" customWidth="1"/>
    <col min="11781" max="11782" width="15.5" style="187" customWidth="1"/>
    <col min="11783" max="11783" width="11.5" style="187" customWidth="1"/>
    <col min="11784" max="11784" width="13" style="187" customWidth="1"/>
    <col min="11785" max="11786" width="14" style="187" customWidth="1"/>
    <col min="11787" max="11787" width="13.33203125" style="187" customWidth="1"/>
    <col min="11788" max="11788" width="14.6640625" style="187" customWidth="1"/>
    <col min="11789" max="12033" width="9.33203125" style="187"/>
    <col min="12034" max="12034" width="6.6640625" style="187" customWidth="1"/>
    <col min="12035" max="12035" width="24.6640625" style="187" customWidth="1"/>
    <col min="12036" max="12036" width="13" style="187" customWidth="1"/>
    <col min="12037" max="12038" width="15.5" style="187" customWidth="1"/>
    <col min="12039" max="12039" width="11.5" style="187" customWidth="1"/>
    <col min="12040" max="12040" width="13" style="187" customWidth="1"/>
    <col min="12041" max="12042" width="14" style="187" customWidth="1"/>
    <col min="12043" max="12043" width="13.33203125" style="187" customWidth="1"/>
    <col min="12044" max="12044" width="14.6640625" style="187" customWidth="1"/>
    <col min="12045" max="12289" width="9.33203125" style="187"/>
    <col min="12290" max="12290" width="6.6640625" style="187" customWidth="1"/>
    <col min="12291" max="12291" width="24.6640625" style="187" customWidth="1"/>
    <col min="12292" max="12292" width="13" style="187" customWidth="1"/>
    <col min="12293" max="12294" width="15.5" style="187" customWidth="1"/>
    <col min="12295" max="12295" width="11.5" style="187" customWidth="1"/>
    <col min="12296" max="12296" width="13" style="187" customWidth="1"/>
    <col min="12297" max="12298" width="14" style="187" customWidth="1"/>
    <col min="12299" max="12299" width="13.33203125" style="187" customWidth="1"/>
    <col min="12300" max="12300" width="14.6640625" style="187" customWidth="1"/>
    <col min="12301" max="12545" width="9.33203125" style="187"/>
    <col min="12546" max="12546" width="6.6640625" style="187" customWidth="1"/>
    <col min="12547" max="12547" width="24.6640625" style="187" customWidth="1"/>
    <col min="12548" max="12548" width="13" style="187" customWidth="1"/>
    <col min="12549" max="12550" width="15.5" style="187" customWidth="1"/>
    <col min="12551" max="12551" width="11.5" style="187" customWidth="1"/>
    <col min="12552" max="12552" width="13" style="187" customWidth="1"/>
    <col min="12553" max="12554" width="14" style="187" customWidth="1"/>
    <col min="12555" max="12555" width="13.33203125" style="187" customWidth="1"/>
    <col min="12556" max="12556" width="14.6640625" style="187" customWidth="1"/>
    <col min="12557" max="12801" width="9.33203125" style="187"/>
    <col min="12802" max="12802" width="6.6640625" style="187" customWidth="1"/>
    <col min="12803" max="12803" width="24.6640625" style="187" customWidth="1"/>
    <col min="12804" max="12804" width="13" style="187" customWidth="1"/>
    <col min="12805" max="12806" width="15.5" style="187" customWidth="1"/>
    <col min="12807" max="12807" width="11.5" style="187" customWidth="1"/>
    <col min="12808" max="12808" width="13" style="187" customWidth="1"/>
    <col min="12809" max="12810" width="14" style="187" customWidth="1"/>
    <col min="12811" max="12811" width="13.33203125" style="187" customWidth="1"/>
    <col min="12812" max="12812" width="14.6640625" style="187" customWidth="1"/>
    <col min="12813" max="13057" width="9.33203125" style="187"/>
    <col min="13058" max="13058" width="6.6640625" style="187" customWidth="1"/>
    <col min="13059" max="13059" width="24.6640625" style="187" customWidth="1"/>
    <col min="13060" max="13060" width="13" style="187" customWidth="1"/>
    <col min="13061" max="13062" width="15.5" style="187" customWidth="1"/>
    <col min="13063" max="13063" width="11.5" style="187" customWidth="1"/>
    <col min="13064" max="13064" width="13" style="187" customWidth="1"/>
    <col min="13065" max="13066" width="14" style="187" customWidth="1"/>
    <col min="13067" max="13067" width="13.33203125" style="187" customWidth="1"/>
    <col min="13068" max="13068" width="14.6640625" style="187" customWidth="1"/>
    <col min="13069" max="13313" width="9.33203125" style="187"/>
    <col min="13314" max="13314" width="6.6640625" style="187" customWidth="1"/>
    <col min="13315" max="13315" width="24.6640625" style="187" customWidth="1"/>
    <col min="13316" max="13316" width="13" style="187" customWidth="1"/>
    <col min="13317" max="13318" width="15.5" style="187" customWidth="1"/>
    <col min="13319" max="13319" width="11.5" style="187" customWidth="1"/>
    <col min="13320" max="13320" width="13" style="187" customWidth="1"/>
    <col min="13321" max="13322" width="14" style="187" customWidth="1"/>
    <col min="13323" max="13323" width="13.33203125" style="187" customWidth="1"/>
    <col min="13324" max="13324" width="14.6640625" style="187" customWidth="1"/>
    <col min="13325" max="13569" width="9.33203125" style="187"/>
    <col min="13570" max="13570" width="6.6640625" style="187" customWidth="1"/>
    <col min="13571" max="13571" width="24.6640625" style="187" customWidth="1"/>
    <col min="13572" max="13572" width="13" style="187" customWidth="1"/>
    <col min="13573" max="13574" width="15.5" style="187" customWidth="1"/>
    <col min="13575" max="13575" width="11.5" style="187" customWidth="1"/>
    <col min="13576" max="13576" width="13" style="187" customWidth="1"/>
    <col min="13577" max="13578" width="14" style="187" customWidth="1"/>
    <col min="13579" max="13579" width="13.33203125" style="187" customWidth="1"/>
    <col min="13580" max="13580" width="14.6640625" style="187" customWidth="1"/>
    <col min="13581" max="13825" width="9.33203125" style="187"/>
    <col min="13826" max="13826" width="6.6640625" style="187" customWidth="1"/>
    <col min="13827" max="13827" width="24.6640625" style="187" customWidth="1"/>
    <col min="13828" max="13828" width="13" style="187" customWidth="1"/>
    <col min="13829" max="13830" width="15.5" style="187" customWidth="1"/>
    <col min="13831" max="13831" width="11.5" style="187" customWidth="1"/>
    <col min="13832" max="13832" width="13" style="187" customWidth="1"/>
    <col min="13833" max="13834" width="14" style="187" customWidth="1"/>
    <col min="13835" max="13835" width="13.33203125" style="187" customWidth="1"/>
    <col min="13836" max="13836" width="14.6640625" style="187" customWidth="1"/>
    <col min="13837" max="14081" width="9.33203125" style="187"/>
    <col min="14082" max="14082" width="6.6640625" style="187" customWidth="1"/>
    <col min="14083" max="14083" width="24.6640625" style="187" customWidth="1"/>
    <col min="14084" max="14084" width="13" style="187" customWidth="1"/>
    <col min="14085" max="14086" width="15.5" style="187" customWidth="1"/>
    <col min="14087" max="14087" width="11.5" style="187" customWidth="1"/>
    <col min="14088" max="14088" width="13" style="187" customWidth="1"/>
    <col min="14089" max="14090" width="14" style="187" customWidth="1"/>
    <col min="14091" max="14091" width="13.33203125" style="187" customWidth="1"/>
    <col min="14092" max="14092" width="14.6640625" style="187" customWidth="1"/>
    <col min="14093" max="14337" width="9.33203125" style="187"/>
    <col min="14338" max="14338" width="6.6640625" style="187" customWidth="1"/>
    <col min="14339" max="14339" width="24.6640625" style="187" customWidth="1"/>
    <col min="14340" max="14340" width="13" style="187" customWidth="1"/>
    <col min="14341" max="14342" width="15.5" style="187" customWidth="1"/>
    <col min="14343" max="14343" width="11.5" style="187" customWidth="1"/>
    <col min="14344" max="14344" width="13" style="187" customWidth="1"/>
    <col min="14345" max="14346" width="14" style="187" customWidth="1"/>
    <col min="14347" max="14347" width="13.33203125" style="187" customWidth="1"/>
    <col min="14348" max="14348" width="14.6640625" style="187" customWidth="1"/>
    <col min="14349" max="14593" width="9.33203125" style="187"/>
    <col min="14594" max="14594" width="6.6640625" style="187" customWidth="1"/>
    <col min="14595" max="14595" width="24.6640625" style="187" customWidth="1"/>
    <col min="14596" max="14596" width="13" style="187" customWidth="1"/>
    <col min="14597" max="14598" width="15.5" style="187" customWidth="1"/>
    <col min="14599" max="14599" width="11.5" style="187" customWidth="1"/>
    <col min="14600" max="14600" width="13" style="187" customWidth="1"/>
    <col min="14601" max="14602" width="14" style="187" customWidth="1"/>
    <col min="14603" max="14603" width="13.33203125" style="187" customWidth="1"/>
    <col min="14604" max="14604" width="14.6640625" style="187" customWidth="1"/>
    <col min="14605" max="14849" width="9.33203125" style="187"/>
    <col min="14850" max="14850" width="6.6640625" style="187" customWidth="1"/>
    <col min="14851" max="14851" width="24.6640625" style="187" customWidth="1"/>
    <col min="14852" max="14852" width="13" style="187" customWidth="1"/>
    <col min="14853" max="14854" width="15.5" style="187" customWidth="1"/>
    <col min="14855" max="14855" width="11.5" style="187" customWidth="1"/>
    <col min="14856" max="14856" width="13" style="187" customWidth="1"/>
    <col min="14857" max="14858" width="14" style="187" customWidth="1"/>
    <col min="14859" max="14859" width="13.33203125" style="187" customWidth="1"/>
    <col min="14860" max="14860" width="14.6640625" style="187" customWidth="1"/>
    <col min="14861" max="15105" width="9.33203125" style="187"/>
    <col min="15106" max="15106" width="6.6640625" style="187" customWidth="1"/>
    <col min="15107" max="15107" width="24.6640625" style="187" customWidth="1"/>
    <col min="15108" max="15108" width="13" style="187" customWidth="1"/>
    <col min="15109" max="15110" width="15.5" style="187" customWidth="1"/>
    <col min="15111" max="15111" width="11.5" style="187" customWidth="1"/>
    <col min="15112" max="15112" width="13" style="187" customWidth="1"/>
    <col min="15113" max="15114" width="14" style="187" customWidth="1"/>
    <col min="15115" max="15115" width="13.33203125" style="187" customWidth="1"/>
    <col min="15116" max="15116" width="14.6640625" style="187" customWidth="1"/>
    <col min="15117" max="15361" width="9.33203125" style="187"/>
    <col min="15362" max="15362" width="6.6640625" style="187" customWidth="1"/>
    <col min="15363" max="15363" width="24.6640625" style="187" customWidth="1"/>
    <col min="15364" max="15364" width="13" style="187" customWidth="1"/>
    <col min="15365" max="15366" width="15.5" style="187" customWidth="1"/>
    <col min="15367" max="15367" width="11.5" style="187" customWidth="1"/>
    <col min="15368" max="15368" width="13" style="187" customWidth="1"/>
    <col min="15369" max="15370" width="14" style="187" customWidth="1"/>
    <col min="15371" max="15371" width="13.33203125" style="187" customWidth="1"/>
    <col min="15372" max="15372" width="14.6640625" style="187" customWidth="1"/>
    <col min="15373" max="15617" width="9.33203125" style="187"/>
    <col min="15618" max="15618" width="6.6640625" style="187" customWidth="1"/>
    <col min="15619" max="15619" width="24.6640625" style="187" customWidth="1"/>
    <col min="15620" max="15620" width="13" style="187" customWidth="1"/>
    <col min="15621" max="15622" width="15.5" style="187" customWidth="1"/>
    <col min="15623" max="15623" width="11.5" style="187" customWidth="1"/>
    <col min="15624" max="15624" width="13" style="187" customWidth="1"/>
    <col min="15625" max="15626" width="14" style="187" customWidth="1"/>
    <col min="15627" max="15627" width="13.33203125" style="187" customWidth="1"/>
    <col min="15628" max="15628" width="14.6640625" style="187" customWidth="1"/>
    <col min="15629" max="15873" width="9.33203125" style="187"/>
    <col min="15874" max="15874" width="6.6640625" style="187" customWidth="1"/>
    <col min="15875" max="15875" width="24.6640625" style="187" customWidth="1"/>
    <col min="15876" max="15876" width="13" style="187" customWidth="1"/>
    <col min="15877" max="15878" width="15.5" style="187" customWidth="1"/>
    <col min="15879" max="15879" width="11.5" style="187" customWidth="1"/>
    <col min="15880" max="15880" width="13" style="187" customWidth="1"/>
    <col min="15881" max="15882" width="14" style="187" customWidth="1"/>
    <col min="15883" max="15883" width="13.33203125" style="187" customWidth="1"/>
    <col min="15884" max="15884" width="14.6640625" style="187" customWidth="1"/>
    <col min="15885" max="16129" width="9.33203125" style="187"/>
    <col min="16130" max="16130" width="6.6640625" style="187" customWidth="1"/>
    <col min="16131" max="16131" width="24.6640625" style="187" customWidth="1"/>
    <col min="16132" max="16132" width="13" style="187" customWidth="1"/>
    <col min="16133" max="16134" width="15.5" style="187" customWidth="1"/>
    <col min="16135" max="16135" width="11.5" style="187" customWidth="1"/>
    <col min="16136" max="16136" width="13" style="187" customWidth="1"/>
    <col min="16137" max="16138" width="14" style="187" customWidth="1"/>
    <col min="16139" max="16139" width="13.33203125" style="187" customWidth="1"/>
    <col min="16140" max="16140" width="14.6640625" style="187" customWidth="1"/>
    <col min="16141" max="16384" width="9.33203125" style="187"/>
  </cols>
  <sheetData>
    <row r="1" spans="1:12" ht="33" customHeight="1" x14ac:dyDescent="0.2">
      <c r="A1" s="1162" t="s">
        <v>778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</row>
    <row r="2" spans="1:12" ht="15" x14ac:dyDescent="0.2">
      <c r="A2" s="668"/>
      <c r="B2" s="189"/>
      <c r="C2" s="189"/>
      <c r="D2" s="669"/>
      <c r="E2" s="191"/>
      <c r="F2" s="191"/>
      <c r="G2" s="192"/>
      <c r="H2" s="192"/>
      <c r="I2" s="191"/>
    </row>
    <row r="3" spans="1:12" ht="15" x14ac:dyDescent="0.2">
      <c r="A3" s="668"/>
      <c r="B3" s="670"/>
      <c r="C3" s="670"/>
      <c r="D3" s="671"/>
      <c r="E3" s="669"/>
      <c r="F3" s="669"/>
      <c r="G3" s="669"/>
      <c r="H3" s="669"/>
      <c r="I3" s="669"/>
      <c r="L3" s="915" t="s">
        <v>1</v>
      </c>
    </row>
    <row r="4" spans="1:12" s="202" customFormat="1" ht="69.75" customHeight="1" x14ac:dyDescent="0.2">
      <c r="A4" s="672" t="s">
        <v>365</v>
      </c>
      <c r="B4" s="673" t="s">
        <v>401</v>
      </c>
      <c r="C4" s="673" t="s">
        <v>402</v>
      </c>
      <c r="D4" s="673" t="s">
        <v>609</v>
      </c>
      <c r="E4" s="673" t="s">
        <v>403</v>
      </c>
      <c r="F4" s="673" t="s">
        <v>404</v>
      </c>
      <c r="G4" s="674" t="s">
        <v>405</v>
      </c>
      <c r="H4" s="674" t="s">
        <v>375</v>
      </c>
      <c r="I4" s="199" t="s">
        <v>406</v>
      </c>
      <c r="J4" s="200" t="s">
        <v>184</v>
      </c>
      <c r="K4" s="624" t="s">
        <v>610</v>
      </c>
      <c r="L4" s="678" t="s">
        <v>407</v>
      </c>
    </row>
    <row r="5" spans="1:12" ht="31.5" customHeight="1" x14ac:dyDescent="0.2">
      <c r="A5" s="675" t="s">
        <v>9</v>
      </c>
      <c r="B5" s="916" t="s">
        <v>410</v>
      </c>
      <c r="C5" s="917" t="s">
        <v>411</v>
      </c>
      <c r="D5" s="626"/>
      <c r="E5" s="627"/>
      <c r="F5" s="627"/>
      <c r="G5" s="628"/>
      <c r="H5" s="628"/>
      <c r="I5" s="627"/>
      <c r="J5" s="629"/>
      <c r="K5" s="630"/>
      <c r="L5" s="642">
        <f>SUM(D5:K5)</f>
        <v>0</v>
      </c>
    </row>
    <row r="6" spans="1:12" ht="39" customHeight="1" x14ac:dyDescent="0.2">
      <c r="A6" s="675" t="s">
        <v>12</v>
      </c>
      <c r="B6" s="916" t="s">
        <v>612</v>
      </c>
      <c r="C6" s="917" t="s">
        <v>611</v>
      </c>
      <c r="D6" s="626"/>
      <c r="E6" s="627"/>
      <c r="F6" s="627"/>
      <c r="G6" s="628"/>
      <c r="H6" s="628"/>
      <c r="I6" s="627"/>
      <c r="J6" s="629"/>
      <c r="K6" s="630"/>
      <c r="L6" s="642">
        <f>SUM(D6:K6)</f>
        <v>0</v>
      </c>
    </row>
    <row r="7" spans="1:12" ht="31.5" customHeight="1" x14ac:dyDescent="0.2">
      <c r="A7" s="204" t="s">
        <v>15</v>
      </c>
      <c r="B7" s="920" t="s">
        <v>614</v>
      </c>
      <c r="C7" s="921" t="s">
        <v>613</v>
      </c>
      <c r="D7" s="631"/>
      <c r="E7" s="632"/>
      <c r="F7" s="632"/>
      <c r="G7" s="633"/>
      <c r="H7" s="633"/>
      <c r="I7" s="632"/>
      <c r="J7" s="240"/>
      <c r="K7" s="634"/>
      <c r="L7" s="643">
        <f>SUM(D7:K7)</f>
        <v>0</v>
      </c>
    </row>
    <row r="8" spans="1:12" s="209" customFormat="1" ht="33" customHeight="1" x14ac:dyDescent="0.25">
      <c r="A8" s="205" t="s">
        <v>18</v>
      </c>
      <c r="B8" s="206" t="s">
        <v>366</v>
      </c>
      <c r="C8" s="676"/>
      <c r="D8" s="208">
        <f t="shared" ref="D8:L8" si="0">SUM(D5:D7)</f>
        <v>0</v>
      </c>
      <c r="E8" s="208">
        <f t="shared" si="0"/>
        <v>0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641">
        <f t="shared" si="0"/>
        <v>0</v>
      </c>
      <c r="L8" s="644">
        <f t="shared" si="0"/>
        <v>0</v>
      </c>
    </row>
    <row r="9" spans="1:12" ht="21" customHeight="1" x14ac:dyDescent="0.2">
      <c r="A9" s="210"/>
      <c r="B9" s="211"/>
      <c r="C9" s="211"/>
      <c r="D9" s="212"/>
      <c r="E9" s="213"/>
      <c r="F9" s="212"/>
      <c r="G9" s="212"/>
      <c r="H9" s="212"/>
      <c r="I9" s="214"/>
    </row>
    <row r="10" spans="1:12" ht="42" customHeight="1" x14ac:dyDescent="0.2">
      <c r="A10" s="210"/>
      <c r="B10" s="215"/>
      <c r="C10" s="216"/>
      <c r="D10" s="217"/>
      <c r="E10" s="213"/>
      <c r="F10" s="213"/>
      <c r="G10" s="212"/>
      <c r="H10" s="212"/>
      <c r="I10" s="212"/>
    </row>
    <row r="11" spans="1:12" ht="42" customHeight="1" x14ac:dyDescent="0.2">
      <c r="A11" s="218"/>
      <c r="B11" s="219"/>
      <c r="C11" s="220"/>
      <c r="D11" s="221"/>
      <c r="E11" s="191"/>
      <c r="F11" s="191"/>
      <c r="G11" s="192"/>
      <c r="H11" s="192"/>
      <c r="I11" s="192"/>
    </row>
    <row r="12" spans="1:12" ht="15" x14ac:dyDescent="0.2">
      <c r="A12" s="668"/>
      <c r="B12" s="189"/>
      <c r="C12" s="189"/>
      <c r="D12" s="669"/>
      <c r="E12" s="669"/>
      <c r="F12" s="669"/>
      <c r="G12" s="669"/>
      <c r="H12" s="669"/>
      <c r="I12" s="669"/>
    </row>
    <row r="13" spans="1:12" s="223" customFormat="1" ht="15" x14ac:dyDescent="0.2">
      <c r="A13" s="668"/>
      <c r="B13" s="189"/>
      <c r="C13" s="189"/>
      <c r="D13" s="669"/>
      <c r="E13" s="191"/>
      <c r="F13" s="222"/>
      <c r="G13" s="222"/>
      <c r="H13" s="222"/>
      <c r="I13" s="222"/>
    </row>
  </sheetData>
  <mergeCells count="1">
    <mergeCell ref="A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3"/>
  <sheetViews>
    <sheetView workbookViewId="0">
      <selection sqref="A1:M1"/>
    </sheetView>
  </sheetViews>
  <sheetFormatPr defaultRowHeight="12.75" x14ac:dyDescent="0.2"/>
  <cols>
    <col min="1" max="1" width="5.83203125" style="224" customWidth="1"/>
    <col min="2" max="2" width="22.33203125" style="187" customWidth="1"/>
    <col min="3" max="3" width="13" style="187" customWidth="1"/>
    <col min="4" max="4" width="12.83203125" style="225" customWidth="1"/>
    <col min="5" max="5" width="15.5" style="225" customWidth="1"/>
    <col min="6" max="6" width="11.1640625" style="225" customWidth="1"/>
    <col min="7" max="7" width="13.33203125" style="225" customWidth="1"/>
    <col min="8" max="9" width="14" style="225" customWidth="1"/>
    <col min="10" max="10" width="13.33203125" style="187" customWidth="1"/>
    <col min="11" max="11" width="12.33203125" style="187" customWidth="1"/>
    <col min="12" max="12" width="14.33203125" style="187" customWidth="1"/>
    <col min="13" max="13" width="15.1640625" style="187" customWidth="1"/>
    <col min="14" max="256" width="9.33203125" style="187"/>
    <col min="257" max="257" width="5.83203125" style="187" customWidth="1"/>
    <col min="258" max="258" width="22.33203125" style="187" customWidth="1"/>
    <col min="259" max="259" width="13" style="187" customWidth="1"/>
    <col min="260" max="260" width="11" style="187" customWidth="1"/>
    <col min="261" max="261" width="15.5" style="187" customWidth="1"/>
    <col min="262" max="262" width="11.1640625" style="187" customWidth="1"/>
    <col min="263" max="263" width="13.33203125" style="187" customWidth="1"/>
    <col min="264" max="265" width="14" style="187" customWidth="1"/>
    <col min="266" max="266" width="13.33203125" style="187" customWidth="1"/>
    <col min="267" max="267" width="12.33203125" style="187" customWidth="1"/>
    <col min="268" max="268" width="14.33203125" style="187" customWidth="1"/>
    <col min="269" max="269" width="15.1640625" style="187" customWidth="1"/>
    <col min="270" max="512" width="9.33203125" style="187"/>
    <col min="513" max="513" width="5.83203125" style="187" customWidth="1"/>
    <col min="514" max="514" width="22.33203125" style="187" customWidth="1"/>
    <col min="515" max="515" width="13" style="187" customWidth="1"/>
    <col min="516" max="516" width="11" style="187" customWidth="1"/>
    <col min="517" max="517" width="15.5" style="187" customWidth="1"/>
    <col min="518" max="518" width="11.1640625" style="187" customWidth="1"/>
    <col min="519" max="519" width="13.33203125" style="187" customWidth="1"/>
    <col min="520" max="521" width="14" style="187" customWidth="1"/>
    <col min="522" max="522" width="13.33203125" style="187" customWidth="1"/>
    <col min="523" max="523" width="12.33203125" style="187" customWidth="1"/>
    <col min="524" max="524" width="14.33203125" style="187" customWidth="1"/>
    <col min="525" max="525" width="15.1640625" style="187" customWidth="1"/>
    <col min="526" max="768" width="9.33203125" style="187"/>
    <col min="769" max="769" width="5.83203125" style="187" customWidth="1"/>
    <col min="770" max="770" width="22.33203125" style="187" customWidth="1"/>
    <col min="771" max="771" width="13" style="187" customWidth="1"/>
    <col min="772" max="772" width="11" style="187" customWidth="1"/>
    <col min="773" max="773" width="15.5" style="187" customWidth="1"/>
    <col min="774" max="774" width="11.1640625" style="187" customWidth="1"/>
    <col min="775" max="775" width="13.33203125" style="187" customWidth="1"/>
    <col min="776" max="777" width="14" style="187" customWidth="1"/>
    <col min="778" max="778" width="13.33203125" style="187" customWidth="1"/>
    <col min="779" max="779" width="12.33203125" style="187" customWidth="1"/>
    <col min="780" max="780" width="14.33203125" style="187" customWidth="1"/>
    <col min="781" max="781" width="15.1640625" style="187" customWidth="1"/>
    <col min="782" max="1024" width="9.33203125" style="187"/>
    <col min="1025" max="1025" width="5.83203125" style="187" customWidth="1"/>
    <col min="1026" max="1026" width="22.33203125" style="187" customWidth="1"/>
    <col min="1027" max="1027" width="13" style="187" customWidth="1"/>
    <col min="1028" max="1028" width="11" style="187" customWidth="1"/>
    <col min="1029" max="1029" width="15.5" style="187" customWidth="1"/>
    <col min="1030" max="1030" width="11.1640625" style="187" customWidth="1"/>
    <col min="1031" max="1031" width="13.33203125" style="187" customWidth="1"/>
    <col min="1032" max="1033" width="14" style="187" customWidth="1"/>
    <col min="1034" max="1034" width="13.33203125" style="187" customWidth="1"/>
    <col min="1035" max="1035" width="12.33203125" style="187" customWidth="1"/>
    <col min="1036" max="1036" width="14.33203125" style="187" customWidth="1"/>
    <col min="1037" max="1037" width="15.1640625" style="187" customWidth="1"/>
    <col min="1038" max="1280" width="9.33203125" style="187"/>
    <col min="1281" max="1281" width="5.83203125" style="187" customWidth="1"/>
    <col min="1282" max="1282" width="22.33203125" style="187" customWidth="1"/>
    <col min="1283" max="1283" width="13" style="187" customWidth="1"/>
    <col min="1284" max="1284" width="11" style="187" customWidth="1"/>
    <col min="1285" max="1285" width="15.5" style="187" customWidth="1"/>
    <col min="1286" max="1286" width="11.1640625" style="187" customWidth="1"/>
    <col min="1287" max="1287" width="13.33203125" style="187" customWidth="1"/>
    <col min="1288" max="1289" width="14" style="187" customWidth="1"/>
    <col min="1290" max="1290" width="13.33203125" style="187" customWidth="1"/>
    <col min="1291" max="1291" width="12.33203125" style="187" customWidth="1"/>
    <col min="1292" max="1292" width="14.33203125" style="187" customWidth="1"/>
    <col min="1293" max="1293" width="15.1640625" style="187" customWidth="1"/>
    <col min="1294" max="1536" width="9.33203125" style="187"/>
    <col min="1537" max="1537" width="5.83203125" style="187" customWidth="1"/>
    <col min="1538" max="1538" width="22.33203125" style="187" customWidth="1"/>
    <col min="1539" max="1539" width="13" style="187" customWidth="1"/>
    <col min="1540" max="1540" width="11" style="187" customWidth="1"/>
    <col min="1541" max="1541" width="15.5" style="187" customWidth="1"/>
    <col min="1542" max="1542" width="11.1640625" style="187" customWidth="1"/>
    <col min="1543" max="1543" width="13.33203125" style="187" customWidth="1"/>
    <col min="1544" max="1545" width="14" style="187" customWidth="1"/>
    <col min="1546" max="1546" width="13.33203125" style="187" customWidth="1"/>
    <col min="1547" max="1547" width="12.33203125" style="187" customWidth="1"/>
    <col min="1548" max="1548" width="14.33203125" style="187" customWidth="1"/>
    <col min="1549" max="1549" width="15.1640625" style="187" customWidth="1"/>
    <col min="1550" max="1792" width="9.33203125" style="187"/>
    <col min="1793" max="1793" width="5.83203125" style="187" customWidth="1"/>
    <col min="1794" max="1794" width="22.33203125" style="187" customWidth="1"/>
    <col min="1795" max="1795" width="13" style="187" customWidth="1"/>
    <col min="1796" max="1796" width="11" style="187" customWidth="1"/>
    <col min="1797" max="1797" width="15.5" style="187" customWidth="1"/>
    <col min="1798" max="1798" width="11.1640625" style="187" customWidth="1"/>
    <col min="1799" max="1799" width="13.33203125" style="187" customWidth="1"/>
    <col min="1800" max="1801" width="14" style="187" customWidth="1"/>
    <col min="1802" max="1802" width="13.33203125" style="187" customWidth="1"/>
    <col min="1803" max="1803" width="12.33203125" style="187" customWidth="1"/>
    <col min="1804" max="1804" width="14.33203125" style="187" customWidth="1"/>
    <col min="1805" max="1805" width="15.1640625" style="187" customWidth="1"/>
    <col min="1806" max="2048" width="9.33203125" style="187"/>
    <col min="2049" max="2049" width="5.83203125" style="187" customWidth="1"/>
    <col min="2050" max="2050" width="22.33203125" style="187" customWidth="1"/>
    <col min="2051" max="2051" width="13" style="187" customWidth="1"/>
    <col min="2052" max="2052" width="11" style="187" customWidth="1"/>
    <col min="2053" max="2053" width="15.5" style="187" customWidth="1"/>
    <col min="2054" max="2054" width="11.1640625" style="187" customWidth="1"/>
    <col min="2055" max="2055" width="13.33203125" style="187" customWidth="1"/>
    <col min="2056" max="2057" width="14" style="187" customWidth="1"/>
    <col min="2058" max="2058" width="13.33203125" style="187" customWidth="1"/>
    <col min="2059" max="2059" width="12.33203125" style="187" customWidth="1"/>
    <col min="2060" max="2060" width="14.33203125" style="187" customWidth="1"/>
    <col min="2061" max="2061" width="15.1640625" style="187" customWidth="1"/>
    <col min="2062" max="2304" width="9.33203125" style="187"/>
    <col min="2305" max="2305" width="5.83203125" style="187" customWidth="1"/>
    <col min="2306" max="2306" width="22.33203125" style="187" customWidth="1"/>
    <col min="2307" max="2307" width="13" style="187" customWidth="1"/>
    <col min="2308" max="2308" width="11" style="187" customWidth="1"/>
    <col min="2309" max="2309" width="15.5" style="187" customWidth="1"/>
    <col min="2310" max="2310" width="11.1640625" style="187" customWidth="1"/>
    <col min="2311" max="2311" width="13.33203125" style="187" customWidth="1"/>
    <col min="2312" max="2313" width="14" style="187" customWidth="1"/>
    <col min="2314" max="2314" width="13.33203125" style="187" customWidth="1"/>
    <col min="2315" max="2315" width="12.33203125" style="187" customWidth="1"/>
    <col min="2316" max="2316" width="14.33203125" style="187" customWidth="1"/>
    <col min="2317" max="2317" width="15.1640625" style="187" customWidth="1"/>
    <col min="2318" max="2560" width="9.33203125" style="187"/>
    <col min="2561" max="2561" width="5.83203125" style="187" customWidth="1"/>
    <col min="2562" max="2562" width="22.33203125" style="187" customWidth="1"/>
    <col min="2563" max="2563" width="13" style="187" customWidth="1"/>
    <col min="2564" max="2564" width="11" style="187" customWidth="1"/>
    <col min="2565" max="2565" width="15.5" style="187" customWidth="1"/>
    <col min="2566" max="2566" width="11.1640625" style="187" customWidth="1"/>
    <col min="2567" max="2567" width="13.33203125" style="187" customWidth="1"/>
    <col min="2568" max="2569" width="14" style="187" customWidth="1"/>
    <col min="2570" max="2570" width="13.33203125" style="187" customWidth="1"/>
    <col min="2571" max="2571" width="12.33203125" style="187" customWidth="1"/>
    <col min="2572" max="2572" width="14.33203125" style="187" customWidth="1"/>
    <col min="2573" max="2573" width="15.1640625" style="187" customWidth="1"/>
    <col min="2574" max="2816" width="9.33203125" style="187"/>
    <col min="2817" max="2817" width="5.83203125" style="187" customWidth="1"/>
    <col min="2818" max="2818" width="22.33203125" style="187" customWidth="1"/>
    <col min="2819" max="2819" width="13" style="187" customWidth="1"/>
    <col min="2820" max="2820" width="11" style="187" customWidth="1"/>
    <col min="2821" max="2821" width="15.5" style="187" customWidth="1"/>
    <col min="2822" max="2822" width="11.1640625" style="187" customWidth="1"/>
    <col min="2823" max="2823" width="13.33203125" style="187" customWidth="1"/>
    <col min="2824" max="2825" width="14" style="187" customWidth="1"/>
    <col min="2826" max="2826" width="13.33203125" style="187" customWidth="1"/>
    <col min="2827" max="2827" width="12.33203125" style="187" customWidth="1"/>
    <col min="2828" max="2828" width="14.33203125" style="187" customWidth="1"/>
    <col min="2829" max="2829" width="15.1640625" style="187" customWidth="1"/>
    <col min="2830" max="3072" width="9.33203125" style="187"/>
    <col min="3073" max="3073" width="5.83203125" style="187" customWidth="1"/>
    <col min="3074" max="3074" width="22.33203125" style="187" customWidth="1"/>
    <col min="3075" max="3075" width="13" style="187" customWidth="1"/>
    <col min="3076" max="3076" width="11" style="187" customWidth="1"/>
    <col min="3077" max="3077" width="15.5" style="187" customWidth="1"/>
    <col min="3078" max="3078" width="11.1640625" style="187" customWidth="1"/>
    <col min="3079" max="3079" width="13.33203125" style="187" customWidth="1"/>
    <col min="3080" max="3081" width="14" style="187" customWidth="1"/>
    <col min="3082" max="3082" width="13.33203125" style="187" customWidth="1"/>
    <col min="3083" max="3083" width="12.33203125" style="187" customWidth="1"/>
    <col min="3084" max="3084" width="14.33203125" style="187" customWidth="1"/>
    <col min="3085" max="3085" width="15.1640625" style="187" customWidth="1"/>
    <col min="3086" max="3328" width="9.33203125" style="187"/>
    <col min="3329" max="3329" width="5.83203125" style="187" customWidth="1"/>
    <col min="3330" max="3330" width="22.33203125" style="187" customWidth="1"/>
    <col min="3331" max="3331" width="13" style="187" customWidth="1"/>
    <col min="3332" max="3332" width="11" style="187" customWidth="1"/>
    <col min="3333" max="3333" width="15.5" style="187" customWidth="1"/>
    <col min="3334" max="3334" width="11.1640625" style="187" customWidth="1"/>
    <col min="3335" max="3335" width="13.33203125" style="187" customWidth="1"/>
    <col min="3336" max="3337" width="14" style="187" customWidth="1"/>
    <col min="3338" max="3338" width="13.33203125" style="187" customWidth="1"/>
    <col min="3339" max="3339" width="12.33203125" style="187" customWidth="1"/>
    <col min="3340" max="3340" width="14.33203125" style="187" customWidth="1"/>
    <col min="3341" max="3341" width="15.1640625" style="187" customWidth="1"/>
    <col min="3342" max="3584" width="9.33203125" style="187"/>
    <col min="3585" max="3585" width="5.83203125" style="187" customWidth="1"/>
    <col min="3586" max="3586" width="22.33203125" style="187" customWidth="1"/>
    <col min="3587" max="3587" width="13" style="187" customWidth="1"/>
    <col min="3588" max="3588" width="11" style="187" customWidth="1"/>
    <col min="3589" max="3589" width="15.5" style="187" customWidth="1"/>
    <col min="3590" max="3590" width="11.1640625" style="187" customWidth="1"/>
    <col min="3591" max="3591" width="13.33203125" style="187" customWidth="1"/>
    <col min="3592" max="3593" width="14" style="187" customWidth="1"/>
    <col min="3594" max="3594" width="13.33203125" style="187" customWidth="1"/>
    <col min="3595" max="3595" width="12.33203125" style="187" customWidth="1"/>
    <col min="3596" max="3596" width="14.33203125" style="187" customWidth="1"/>
    <col min="3597" max="3597" width="15.1640625" style="187" customWidth="1"/>
    <col min="3598" max="3840" width="9.33203125" style="187"/>
    <col min="3841" max="3841" width="5.83203125" style="187" customWidth="1"/>
    <col min="3842" max="3842" width="22.33203125" style="187" customWidth="1"/>
    <col min="3843" max="3843" width="13" style="187" customWidth="1"/>
    <col min="3844" max="3844" width="11" style="187" customWidth="1"/>
    <col min="3845" max="3845" width="15.5" style="187" customWidth="1"/>
    <col min="3846" max="3846" width="11.1640625" style="187" customWidth="1"/>
    <col min="3847" max="3847" width="13.33203125" style="187" customWidth="1"/>
    <col min="3848" max="3849" width="14" style="187" customWidth="1"/>
    <col min="3850" max="3850" width="13.33203125" style="187" customWidth="1"/>
    <col min="3851" max="3851" width="12.33203125" style="187" customWidth="1"/>
    <col min="3852" max="3852" width="14.33203125" style="187" customWidth="1"/>
    <col min="3853" max="3853" width="15.1640625" style="187" customWidth="1"/>
    <col min="3854" max="4096" width="9.33203125" style="187"/>
    <col min="4097" max="4097" width="5.83203125" style="187" customWidth="1"/>
    <col min="4098" max="4098" width="22.33203125" style="187" customWidth="1"/>
    <col min="4099" max="4099" width="13" style="187" customWidth="1"/>
    <col min="4100" max="4100" width="11" style="187" customWidth="1"/>
    <col min="4101" max="4101" width="15.5" style="187" customWidth="1"/>
    <col min="4102" max="4102" width="11.1640625" style="187" customWidth="1"/>
    <col min="4103" max="4103" width="13.33203125" style="187" customWidth="1"/>
    <col min="4104" max="4105" width="14" style="187" customWidth="1"/>
    <col min="4106" max="4106" width="13.33203125" style="187" customWidth="1"/>
    <col min="4107" max="4107" width="12.33203125" style="187" customWidth="1"/>
    <col min="4108" max="4108" width="14.33203125" style="187" customWidth="1"/>
    <col min="4109" max="4109" width="15.1640625" style="187" customWidth="1"/>
    <col min="4110" max="4352" width="9.33203125" style="187"/>
    <col min="4353" max="4353" width="5.83203125" style="187" customWidth="1"/>
    <col min="4354" max="4354" width="22.33203125" style="187" customWidth="1"/>
    <col min="4355" max="4355" width="13" style="187" customWidth="1"/>
    <col min="4356" max="4356" width="11" style="187" customWidth="1"/>
    <col min="4357" max="4357" width="15.5" style="187" customWidth="1"/>
    <col min="4358" max="4358" width="11.1640625" style="187" customWidth="1"/>
    <col min="4359" max="4359" width="13.33203125" style="187" customWidth="1"/>
    <col min="4360" max="4361" width="14" style="187" customWidth="1"/>
    <col min="4362" max="4362" width="13.33203125" style="187" customWidth="1"/>
    <col min="4363" max="4363" width="12.33203125" style="187" customWidth="1"/>
    <col min="4364" max="4364" width="14.33203125" style="187" customWidth="1"/>
    <col min="4365" max="4365" width="15.1640625" style="187" customWidth="1"/>
    <col min="4366" max="4608" width="9.33203125" style="187"/>
    <col min="4609" max="4609" width="5.83203125" style="187" customWidth="1"/>
    <col min="4610" max="4610" width="22.33203125" style="187" customWidth="1"/>
    <col min="4611" max="4611" width="13" style="187" customWidth="1"/>
    <col min="4612" max="4612" width="11" style="187" customWidth="1"/>
    <col min="4613" max="4613" width="15.5" style="187" customWidth="1"/>
    <col min="4614" max="4614" width="11.1640625" style="187" customWidth="1"/>
    <col min="4615" max="4615" width="13.33203125" style="187" customWidth="1"/>
    <col min="4616" max="4617" width="14" style="187" customWidth="1"/>
    <col min="4618" max="4618" width="13.33203125" style="187" customWidth="1"/>
    <col min="4619" max="4619" width="12.33203125" style="187" customWidth="1"/>
    <col min="4620" max="4620" width="14.33203125" style="187" customWidth="1"/>
    <col min="4621" max="4621" width="15.1640625" style="187" customWidth="1"/>
    <col min="4622" max="4864" width="9.33203125" style="187"/>
    <col min="4865" max="4865" width="5.83203125" style="187" customWidth="1"/>
    <col min="4866" max="4866" width="22.33203125" style="187" customWidth="1"/>
    <col min="4867" max="4867" width="13" style="187" customWidth="1"/>
    <col min="4868" max="4868" width="11" style="187" customWidth="1"/>
    <col min="4869" max="4869" width="15.5" style="187" customWidth="1"/>
    <col min="4870" max="4870" width="11.1640625" style="187" customWidth="1"/>
    <col min="4871" max="4871" width="13.33203125" style="187" customWidth="1"/>
    <col min="4872" max="4873" width="14" style="187" customWidth="1"/>
    <col min="4874" max="4874" width="13.33203125" style="187" customWidth="1"/>
    <col min="4875" max="4875" width="12.33203125" style="187" customWidth="1"/>
    <col min="4876" max="4876" width="14.33203125" style="187" customWidth="1"/>
    <col min="4877" max="4877" width="15.1640625" style="187" customWidth="1"/>
    <col min="4878" max="5120" width="9.33203125" style="187"/>
    <col min="5121" max="5121" width="5.83203125" style="187" customWidth="1"/>
    <col min="5122" max="5122" width="22.33203125" style="187" customWidth="1"/>
    <col min="5123" max="5123" width="13" style="187" customWidth="1"/>
    <col min="5124" max="5124" width="11" style="187" customWidth="1"/>
    <col min="5125" max="5125" width="15.5" style="187" customWidth="1"/>
    <col min="5126" max="5126" width="11.1640625" style="187" customWidth="1"/>
    <col min="5127" max="5127" width="13.33203125" style="187" customWidth="1"/>
    <col min="5128" max="5129" width="14" style="187" customWidth="1"/>
    <col min="5130" max="5130" width="13.33203125" style="187" customWidth="1"/>
    <col min="5131" max="5131" width="12.33203125" style="187" customWidth="1"/>
    <col min="5132" max="5132" width="14.33203125" style="187" customWidth="1"/>
    <col min="5133" max="5133" width="15.1640625" style="187" customWidth="1"/>
    <col min="5134" max="5376" width="9.33203125" style="187"/>
    <col min="5377" max="5377" width="5.83203125" style="187" customWidth="1"/>
    <col min="5378" max="5378" width="22.33203125" style="187" customWidth="1"/>
    <col min="5379" max="5379" width="13" style="187" customWidth="1"/>
    <col min="5380" max="5380" width="11" style="187" customWidth="1"/>
    <col min="5381" max="5381" width="15.5" style="187" customWidth="1"/>
    <col min="5382" max="5382" width="11.1640625" style="187" customWidth="1"/>
    <col min="5383" max="5383" width="13.33203125" style="187" customWidth="1"/>
    <col min="5384" max="5385" width="14" style="187" customWidth="1"/>
    <col min="5386" max="5386" width="13.33203125" style="187" customWidth="1"/>
    <col min="5387" max="5387" width="12.33203125" style="187" customWidth="1"/>
    <col min="5388" max="5388" width="14.33203125" style="187" customWidth="1"/>
    <col min="5389" max="5389" width="15.1640625" style="187" customWidth="1"/>
    <col min="5390" max="5632" width="9.33203125" style="187"/>
    <col min="5633" max="5633" width="5.83203125" style="187" customWidth="1"/>
    <col min="5634" max="5634" width="22.33203125" style="187" customWidth="1"/>
    <col min="5635" max="5635" width="13" style="187" customWidth="1"/>
    <col min="5636" max="5636" width="11" style="187" customWidth="1"/>
    <col min="5637" max="5637" width="15.5" style="187" customWidth="1"/>
    <col min="5638" max="5638" width="11.1640625" style="187" customWidth="1"/>
    <col min="5639" max="5639" width="13.33203125" style="187" customWidth="1"/>
    <col min="5640" max="5641" width="14" style="187" customWidth="1"/>
    <col min="5642" max="5642" width="13.33203125" style="187" customWidth="1"/>
    <col min="5643" max="5643" width="12.33203125" style="187" customWidth="1"/>
    <col min="5644" max="5644" width="14.33203125" style="187" customWidth="1"/>
    <col min="5645" max="5645" width="15.1640625" style="187" customWidth="1"/>
    <col min="5646" max="5888" width="9.33203125" style="187"/>
    <col min="5889" max="5889" width="5.83203125" style="187" customWidth="1"/>
    <col min="5890" max="5890" width="22.33203125" style="187" customWidth="1"/>
    <col min="5891" max="5891" width="13" style="187" customWidth="1"/>
    <col min="5892" max="5892" width="11" style="187" customWidth="1"/>
    <col min="5893" max="5893" width="15.5" style="187" customWidth="1"/>
    <col min="5894" max="5894" width="11.1640625" style="187" customWidth="1"/>
    <col min="5895" max="5895" width="13.33203125" style="187" customWidth="1"/>
    <col min="5896" max="5897" width="14" style="187" customWidth="1"/>
    <col min="5898" max="5898" width="13.33203125" style="187" customWidth="1"/>
    <col min="5899" max="5899" width="12.33203125" style="187" customWidth="1"/>
    <col min="5900" max="5900" width="14.33203125" style="187" customWidth="1"/>
    <col min="5901" max="5901" width="15.1640625" style="187" customWidth="1"/>
    <col min="5902" max="6144" width="9.33203125" style="187"/>
    <col min="6145" max="6145" width="5.83203125" style="187" customWidth="1"/>
    <col min="6146" max="6146" width="22.33203125" style="187" customWidth="1"/>
    <col min="6147" max="6147" width="13" style="187" customWidth="1"/>
    <col min="6148" max="6148" width="11" style="187" customWidth="1"/>
    <col min="6149" max="6149" width="15.5" style="187" customWidth="1"/>
    <col min="6150" max="6150" width="11.1640625" style="187" customWidth="1"/>
    <col min="6151" max="6151" width="13.33203125" style="187" customWidth="1"/>
    <col min="6152" max="6153" width="14" style="187" customWidth="1"/>
    <col min="6154" max="6154" width="13.33203125" style="187" customWidth="1"/>
    <col min="6155" max="6155" width="12.33203125" style="187" customWidth="1"/>
    <col min="6156" max="6156" width="14.33203125" style="187" customWidth="1"/>
    <col min="6157" max="6157" width="15.1640625" style="187" customWidth="1"/>
    <col min="6158" max="6400" width="9.33203125" style="187"/>
    <col min="6401" max="6401" width="5.83203125" style="187" customWidth="1"/>
    <col min="6402" max="6402" width="22.33203125" style="187" customWidth="1"/>
    <col min="6403" max="6403" width="13" style="187" customWidth="1"/>
    <col min="6404" max="6404" width="11" style="187" customWidth="1"/>
    <col min="6405" max="6405" width="15.5" style="187" customWidth="1"/>
    <col min="6406" max="6406" width="11.1640625" style="187" customWidth="1"/>
    <col min="6407" max="6407" width="13.33203125" style="187" customWidth="1"/>
    <col min="6408" max="6409" width="14" style="187" customWidth="1"/>
    <col min="6410" max="6410" width="13.33203125" style="187" customWidth="1"/>
    <col min="6411" max="6411" width="12.33203125" style="187" customWidth="1"/>
    <col min="6412" max="6412" width="14.33203125" style="187" customWidth="1"/>
    <col min="6413" max="6413" width="15.1640625" style="187" customWidth="1"/>
    <col min="6414" max="6656" width="9.33203125" style="187"/>
    <col min="6657" max="6657" width="5.83203125" style="187" customWidth="1"/>
    <col min="6658" max="6658" width="22.33203125" style="187" customWidth="1"/>
    <col min="6659" max="6659" width="13" style="187" customWidth="1"/>
    <col min="6660" max="6660" width="11" style="187" customWidth="1"/>
    <col min="6661" max="6661" width="15.5" style="187" customWidth="1"/>
    <col min="6662" max="6662" width="11.1640625" style="187" customWidth="1"/>
    <col min="6663" max="6663" width="13.33203125" style="187" customWidth="1"/>
    <col min="6664" max="6665" width="14" style="187" customWidth="1"/>
    <col min="6666" max="6666" width="13.33203125" style="187" customWidth="1"/>
    <col min="6667" max="6667" width="12.33203125" style="187" customWidth="1"/>
    <col min="6668" max="6668" width="14.33203125" style="187" customWidth="1"/>
    <col min="6669" max="6669" width="15.1640625" style="187" customWidth="1"/>
    <col min="6670" max="6912" width="9.33203125" style="187"/>
    <col min="6913" max="6913" width="5.83203125" style="187" customWidth="1"/>
    <col min="6914" max="6914" width="22.33203125" style="187" customWidth="1"/>
    <col min="6915" max="6915" width="13" style="187" customWidth="1"/>
    <col min="6916" max="6916" width="11" style="187" customWidth="1"/>
    <col min="6917" max="6917" width="15.5" style="187" customWidth="1"/>
    <col min="6918" max="6918" width="11.1640625" style="187" customWidth="1"/>
    <col min="6919" max="6919" width="13.33203125" style="187" customWidth="1"/>
    <col min="6920" max="6921" width="14" style="187" customWidth="1"/>
    <col min="6922" max="6922" width="13.33203125" style="187" customWidth="1"/>
    <col min="6923" max="6923" width="12.33203125" style="187" customWidth="1"/>
    <col min="6924" max="6924" width="14.33203125" style="187" customWidth="1"/>
    <col min="6925" max="6925" width="15.1640625" style="187" customWidth="1"/>
    <col min="6926" max="7168" width="9.33203125" style="187"/>
    <col min="7169" max="7169" width="5.83203125" style="187" customWidth="1"/>
    <col min="7170" max="7170" width="22.33203125" style="187" customWidth="1"/>
    <col min="7171" max="7171" width="13" style="187" customWidth="1"/>
    <col min="7172" max="7172" width="11" style="187" customWidth="1"/>
    <col min="7173" max="7173" width="15.5" style="187" customWidth="1"/>
    <col min="7174" max="7174" width="11.1640625" style="187" customWidth="1"/>
    <col min="7175" max="7175" width="13.33203125" style="187" customWidth="1"/>
    <col min="7176" max="7177" width="14" style="187" customWidth="1"/>
    <col min="7178" max="7178" width="13.33203125" style="187" customWidth="1"/>
    <col min="7179" max="7179" width="12.33203125" style="187" customWidth="1"/>
    <col min="7180" max="7180" width="14.33203125" style="187" customWidth="1"/>
    <col min="7181" max="7181" width="15.1640625" style="187" customWidth="1"/>
    <col min="7182" max="7424" width="9.33203125" style="187"/>
    <col min="7425" max="7425" width="5.83203125" style="187" customWidth="1"/>
    <col min="7426" max="7426" width="22.33203125" style="187" customWidth="1"/>
    <col min="7427" max="7427" width="13" style="187" customWidth="1"/>
    <col min="7428" max="7428" width="11" style="187" customWidth="1"/>
    <col min="7429" max="7429" width="15.5" style="187" customWidth="1"/>
    <col min="7430" max="7430" width="11.1640625" style="187" customWidth="1"/>
    <col min="7431" max="7431" width="13.33203125" style="187" customWidth="1"/>
    <col min="7432" max="7433" width="14" style="187" customWidth="1"/>
    <col min="7434" max="7434" width="13.33203125" style="187" customWidth="1"/>
    <col min="7435" max="7435" width="12.33203125" style="187" customWidth="1"/>
    <col min="7436" max="7436" width="14.33203125" style="187" customWidth="1"/>
    <col min="7437" max="7437" width="15.1640625" style="187" customWidth="1"/>
    <col min="7438" max="7680" width="9.33203125" style="187"/>
    <col min="7681" max="7681" width="5.83203125" style="187" customWidth="1"/>
    <col min="7682" max="7682" width="22.33203125" style="187" customWidth="1"/>
    <col min="7683" max="7683" width="13" style="187" customWidth="1"/>
    <col min="7684" max="7684" width="11" style="187" customWidth="1"/>
    <col min="7685" max="7685" width="15.5" style="187" customWidth="1"/>
    <col min="7686" max="7686" width="11.1640625" style="187" customWidth="1"/>
    <col min="7687" max="7687" width="13.33203125" style="187" customWidth="1"/>
    <col min="7688" max="7689" width="14" style="187" customWidth="1"/>
    <col min="7690" max="7690" width="13.33203125" style="187" customWidth="1"/>
    <col min="7691" max="7691" width="12.33203125" style="187" customWidth="1"/>
    <col min="7692" max="7692" width="14.33203125" style="187" customWidth="1"/>
    <col min="7693" max="7693" width="15.1640625" style="187" customWidth="1"/>
    <col min="7694" max="7936" width="9.33203125" style="187"/>
    <col min="7937" max="7937" width="5.83203125" style="187" customWidth="1"/>
    <col min="7938" max="7938" width="22.33203125" style="187" customWidth="1"/>
    <col min="7939" max="7939" width="13" style="187" customWidth="1"/>
    <col min="7940" max="7940" width="11" style="187" customWidth="1"/>
    <col min="7941" max="7941" width="15.5" style="187" customWidth="1"/>
    <col min="7942" max="7942" width="11.1640625" style="187" customWidth="1"/>
    <col min="7943" max="7943" width="13.33203125" style="187" customWidth="1"/>
    <col min="7944" max="7945" width="14" style="187" customWidth="1"/>
    <col min="7946" max="7946" width="13.33203125" style="187" customWidth="1"/>
    <col min="7947" max="7947" width="12.33203125" style="187" customWidth="1"/>
    <col min="7948" max="7948" width="14.33203125" style="187" customWidth="1"/>
    <col min="7949" max="7949" width="15.1640625" style="187" customWidth="1"/>
    <col min="7950" max="8192" width="9.33203125" style="187"/>
    <col min="8193" max="8193" width="5.83203125" style="187" customWidth="1"/>
    <col min="8194" max="8194" width="22.33203125" style="187" customWidth="1"/>
    <col min="8195" max="8195" width="13" style="187" customWidth="1"/>
    <col min="8196" max="8196" width="11" style="187" customWidth="1"/>
    <col min="8197" max="8197" width="15.5" style="187" customWidth="1"/>
    <col min="8198" max="8198" width="11.1640625" style="187" customWidth="1"/>
    <col min="8199" max="8199" width="13.33203125" style="187" customWidth="1"/>
    <col min="8200" max="8201" width="14" style="187" customWidth="1"/>
    <col min="8202" max="8202" width="13.33203125" style="187" customWidth="1"/>
    <col min="8203" max="8203" width="12.33203125" style="187" customWidth="1"/>
    <col min="8204" max="8204" width="14.33203125" style="187" customWidth="1"/>
    <col min="8205" max="8205" width="15.1640625" style="187" customWidth="1"/>
    <col min="8206" max="8448" width="9.33203125" style="187"/>
    <col min="8449" max="8449" width="5.83203125" style="187" customWidth="1"/>
    <col min="8450" max="8450" width="22.33203125" style="187" customWidth="1"/>
    <col min="8451" max="8451" width="13" style="187" customWidth="1"/>
    <col min="8452" max="8452" width="11" style="187" customWidth="1"/>
    <col min="8453" max="8453" width="15.5" style="187" customWidth="1"/>
    <col min="8454" max="8454" width="11.1640625" style="187" customWidth="1"/>
    <col min="8455" max="8455" width="13.33203125" style="187" customWidth="1"/>
    <col min="8456" max="8457" width="14" style="187" customWidth="1"/>
    <col min="8458" max="8458" width="13.33203125" style="187" customWidth="1"/>
    <col min="8459" max="8459" width="12.33203125" style="187" customWidth="1"/>
    <col min="8460" max="8460" width="14.33203125" style="187" customWidth="1"/>
    <col min="8461" max="8461" width="15.1640625" style="187" customWidth="1"/>
    <col min="8462" max="8704" width="9.33203125" style="187"/>
    <col min="8705" max="8705" width="5.83203125" style="187" customWidth="1"/>
    <col min="8706" max="8706" width="22.33203125" style="187" customWidth="1"/>
    <col min="8707" max="8707" width="13" style="187" customWidth="1"/>
    <col min="8708" max="8708" width="11" style="187" customWidth="1"/>
    <col min="8709" max="8709" width="15.5" style="187" customWidth="1"/>
    <col min="8710" max="8710" width="11.1640625" style="187" customWidth="1"/>
    <col min="8711" max="8711" width="13.33203125" style="187" customWidth="1"/>
    <col min="8712" max="8713" width="14" style="187" customWidth="1"/>
    <col min="8714" max="8714" width="13.33203125" style="187" customWidth="1"/>
    <col min="8715" max="8715" width="12.33203125" style="187" customWidth="1"/>
    <col min="8716" max="8716" width="14.33203125" style="187" customWidth="1"/>
    <col min="8717" max="8717" width="15.1640625" style="187" customWidth="1"/>
    <col min="8718" max="8960" width="9.33203125" style="187"/>
    <col min="8961" max="8961" width="5.83203125" style="187" customWidth="1"/>
    <col min="8962" max="8962" width="22.33203125" style="187" customWidth="1"/>
    <col min="8963" max="8963" width="13" style="187" customWidth="1"/>
    <col min="8964" max="8964" width="11" style="187" customWidth="1"/>
    <col min="8965" max="8965" width="15.5" style="187" customWidth="1"/>
    <col min="8966" max="8966" width="11.1640625" style="187" customWidth="1"/>
    <col min="8967" max="8967" width="13.33203125" style="187" customWidth="1"/>
    <col min="8968" max="8969" width="14" style="187" customWidth="1"/>
    <col min="8970" max="8970" width="13.33203125" style="187" customWidth="1"/>
    <col min="8971" max="8971" width="12.33203125" style="187" customWidth="1"/>
    <col min="8972" max="8972" width="14.33203125" style="187" customWidth="1"/>
    <col min="8973" max="8973" width="15.1640625" style="187" customWidth="1"/>
    <col min="8974" max="9216" width="9.33203125" style="187"/>
    <col min="9217" max="9217" width="5.83203125" style="187" customWidth="1"/>
    <col min="9218" max="9218" width="22.33203125" style="187" customWidth="1"/>
    <col min="9219" max="9219" width="13" style="187" customWidth="1"/>
    <col min="9220" max="9220" width="11" style="187" customWidth="1"/>
    <col min="9221" max="9221" width="15.5" style="187" customWidth="1"/>
    <col min="9222" max="9222" width="11.1640625" style="187" customWidth="1"/>
    <col min="9223" max="9223" width="13.33203125" style="187" customWidth="1"/>
    <col min="9224" max="9225" width="14" style="187" customWidth="1"/>
    <col min="9226" max="9226" width="13.33203125" style="187" customWidth="1"/>
    <col min="9227" max="9227" width="12.33203125" style="187" customWidth="1"/>
    <col min="9228" max="9228" width="14.33203125" style="187" customWidth="1"/>
    <col min="9229" max="9229" width="15.1640625" style="187" customWidth="1"/>
    <col min="9230" max="9472" width="9.33203125" style="187"/>
    <col min="9473" max="9473" width="5.83203125" style="187" customWidth="1"/>
    <col min="9474" max="9474" width="22.33203125" style="187" customWidth="1"/>
    <col min="9475" max="9475" width="13" style="187" customWidth="1"/>
    <col min="9476" max="9476" width="11" style="187" customWidth="1"/>
    <col min="9477" max="9477" width="15.5" style="187" customWidth="1"/>
    <col min="9478" max="9478" width="11.1640625" style="187" customWidth="1"/>
    <col min="9479" max="9479" width="13.33203125" style="187" customWidth="1"/>
    <col min="9480" max="9481" width="14" style="187" customWidth="1"/>
    <col min="9482" max="9482" width="13.33203125" style="187" customWidth="1"/>
    <col min="9483" max="9483" width="12.33203125" style="187" customWidth="1"/>
    <col min="9484" max="9484" width="14.33203125" style="187" customWidth="1"/>
    <col min="9485" max="9485" width="15.1640625" style="187" customWidth="1"/>
    <col min="9486" max="9728" width="9.33203125" style="187"/>
    <col min="9729" max="9729" width="5.83203125" style="187" customWidth="1"/>
    <col min="9730" max="9730" width="22.33203125" style="187" customWidth="1"/>
    <col min="9731" max="9731" width="13" style="187" customWidth="1"/>
    <col min="9732" max="9732" width="11" style="187" customWidth="1"/>
    <col min="9733" max="9733" width="15.5" style="187" customWidth="1"/>
    <col min="9734" max="9734" width="11.1640625" style="187" customWidth="1"/>
    <col min="9735" max="9735" width="13.33203125" style="187" customWidth="1"/>
    <col min="9736" max="9737" width="14" style="187" customWidth="1"/>
    <col min="9738" max="9738" width="13.33203125" style="187" customWidth="1"/>
    <col min="9739" max="9739" width="12.33203125" style="187" customWidth="1"/>
    <col min="9740" max="9740" width="14.33203125" style="187" customWidth="1"/>
    <col min="9741" max="9741" width="15.1640625" style="187" customWidth="1"/>
    <col min="9742" max="9984" width="9.33203125" style="187"/>
    <col min="9985" max="9985" width="5.83203125" style="187" customWidth="1"/>
    <col min="9986" max="9986" width="22.33203125" style="187" customWidth="1"/>
    <col min="9987" max="9987" width="13" style="187" customWidth="1"/>
    <col min="9988" max="9988" width="11" style="187" customWidth="1"/>
    <col min="9989" max="9989" width="15.5" style="187" customWidth="1"/>
    <col min="9990" max="9990" width="11.1640625" style="187" customWidth="1"/>
    <col min="9991" max="9991" width="13.33203125" style="187" customWidth="1"/>
    <col min="9992" max="9993" width="14" style="187" customWidth="1"/>
    <col min="9994" max="9994" width="13.33203125" style="187" customWidth="1"/>
    <col min="9995" max="9995" width="12.33203125" style="187" customWidth="1"/>
    <col min="9996" max="9996" width="14.33203125" style="187" customWidth="1"/>
    <col min="9997" max="9997" width="15.1640625" style="187" customWidth="1"/>
    <col min="9998" max="10240" width="9.33203125" style="187"/>
    <col min="10241" max="10241" width="5.83203125" style="187" customWidth="1"/>
    <col min="10242" max="10242" width="22.33203125" style="187" customWidth="1"/>
    <col min="10243" max="10243" width="13" style="187" customWidth="1"/>
    <col min="10244" max="10244" width="11" style="187" customWidth="1"/>
    <col min="10245" max="10245" width="15.5" style="187" customWidth="1"/>
    <col min="10246" max="10246" width="11.1640625" style="187" customWidth="1"/>
    <col min="10247" max="10247" width="13.33203125" style="187" customWidth="1"/>
    <col min="10248" max="10249" width="14" style="187" customWidth="1"/>
    <col min="10250" max="10250" width="13.33203125" style="187" customWidth="1"/>
    <col min="10251" max="10251" width="12.33203125" style="187" customWidth="1"/>
    <col min="10252" max="10252" width="14.33203125" style="187" customWidth="1"/>
    <col min="10253" max="10253" width="15.1640625" style="187" customWidth="1"/>
    <col min="10254" max="10496" width="9.33203125" style="187"/>
    <col min="10497" max="10497" width="5.83203125" style="187" customWidth="1"/>
    <col min="10498" max="10498" width="22.33203125" style="187" customWidth="1"/>
    <col min="10499" max="10499" width="13" style="187" customWidth="1"/>
    <col min="10500" max="10500" width="11" style="187" customWidth="1"/>
    <col min="10501" max="10501" width="15.5" style="187" customWidth="1"/>
    <col min="10502" max="10502" width="11.1640625" style="187" customWidth="1"/>
    <col min="10503" max="10503" width="13.33203125" style="187" customWidth="1"/>
    <col min="10504" max="10505" width="14" style="187" customWidth="1"/>
    <col min="10506" max="10506" width="13.33203125" style="187" customWidth="1"/>
    <col min="10507" max="10507" width="12.33203125" style="187" customWidth="1"/>
    <col min="10508" max="10508" width="14.33203125" style="187" customWidth="1"/>
    <col min="10509" max="10509" width="15.1640625" style="187" customWidth="1"/>
    <col min="10510" max="10752" width="9.33203125" style="187"/>
    <col min="10753" max="10753" width="5.83203125" style="187" customWidth="1"/>
    <col min="10754" max="10754" width="22.33203125" style="187" customWidth="1"/>
    <col min="10755" max="10755" width="13" style="187" customWidth="1"/>
    <col min="10756" max="10756" width="11" style="187" customWidth="1"/>
    <col min="10757" max="10757" width="15.5" style="187" customWidth="1"/>
    <col min="10758" max="10758" width="11.1640625" style="187" customWidth="1"/>
    <col min="10759" max="10759" width="13.33203125" style="187" customWidth="1"/>
    <col min="10760" max="10761" width="14" style="187" customWidth="1"/>
    <col min="10762" max="10762" width="13.33203125" style="187" customWidth="1"/>
    <col min="10763" max="10763" width="12.33203125" style="187" customWidth="1"/>
    <col min="10764" max="10764" width="14.33203125" style="187" customWidth="1"/>
    <col min="10765" max="10765" width="15.1640625" style="187" customWidth="1"/>
    <col min="10766" max="11008" width="9.33203125" style="187"/>
    <col min="11009" max="11009" width="5.83203125" style="187" customWidth="1"/>
    <col min="11010" max="11010" width="22.33203125" style="187" customWidth="1"/>
    <col min="11011" max="11011" width="13" style="187" customWidth="1"/>
    <col min="11012" max="11012" width="11" style="187" customWidth="1"/>
    <col min="11013" max="11013" width="15.5" style="187" customWidth="1"/>
    <col min="11014" max="11014" width="11.1640625" style="187" customWidth="1"/>
    <col min="11015" max="11015" width="13.33203125" style="187" customWidth="1"/>
    <col min="11016" max="11017" width="14" style="187" customWidth="1"/>
    <col min="11018" max="11018" width="13.33203125" style="187" customWidth="1"/>
    <col min="11019" max="11019" width="12.33203125" style="187" customWidth="1"/>
    <col min="11020" max="11020" width="14.33203125" style="187" customWidth="1"/>
    <col min="11021" max="11021" width="15.1640625" style="187" customWidth="1"/>
    <col min="11022" max="11264" width="9.33203125" style="187"/>
    <col min="11265" max="11265" width="5.83203125" style="187" customWidth="1"/>
    <col min="11266" max="11266" width="22.33203125" style="187" customWidth="1"/>
    <col min="11267" max="11267" width="13" style="187" customWidth="1"/>
    <col min="11268" max="11268" width="11" style="187" customWidth="1"/>
    <col min="11269" max="11269" width="15.5" style="187" customWidth="1"/>
    <col min="11270" max="11270" width="11.1640625" style="187" customWidth="1"/>
    <col min="11271" max="11271" width="13.33203125" style="187" customWidth="1"/>
    <col min="11272" max="11273" width="14" style="187" customWidth="1"/>
    <col min="11274" max="11274" width="13.33203125" style="187" customWidth="1"/>
    <col min="11275" max="11275" width="12.33203125" style="187" customWidth="1"/>
    <col min="11276" max="11276" width="14.33203125" style="187" customWidth="1"/>
    <col min="11277" max="11277" width="15.1640625" style="187" customWidth="1"/>
    <col min="11278" max="11520" width="9.33203125" style="187"/>
    <col min="11521" max="11521" width="5.83203125" style="187" customWidth="1"/>
    <col min="11522" max="11522" width="22.33203125" style="187" customWidth="1"/>
    <col min="11523" max="11523" width="13" style="187" customWidth="1"/>
    <col min="11524" max="11524" width="11" style="187" customWidth="1"/>
    <col min="11525" max="11525" width="15.5" style="187" customWidth="1"/>
    <col min="11526" max="11526" width="11.1640625" style="187" customWidth="1"/>
    <col min="11527" max="11527" width="13.33203125" style="187" customWidth="1"/>
    <col min="11528" max="11529" width="14" style="187" customWidth="1"/>
    <col min="11530" max="11530" width="13.33203125" style="187" customWidth="1"/>
    <col min="11531" max="11531" width="12.33203125" style="187" customWidth="1"/>
    <col min="11532" max="11532" width="14.33203125" style="187" customWidth="1"/>
    <col min="11533" max="11533" width="15.1640625" style="187" customWidth="1"/>
    <col min="11534" max="11776" width="9.33203125" style="187"/>
    <col min="11777" max="11777" width="5.83203125" style="187" customWidth="1"/>
    <col min="11778" max="11778" width="22.33203125" style="187" customWidth="1"/>
    <col min="11779" max="11779" width="13" style="187" customWidth="1"/>
    <col min="11780" max="11780" width="11" style="187" customWidth="1"/>
    <col min="11781" max="11781" width="15.5" style="187" customWidth="1"/>
    <col min="11782" max="11782" width="11.1640625" style="187" customWidth="1"/>
    <col min="11783" max="11783" width="13.33203125" style="187" customWidth="1"/>
    <col min="11784" max="11785" width="14" style="187" customWidth="1"/>
    <col min="11786" max="11786" width="13.33203125" style="187" customWidth="1"/>
    <col min="11787" max="11787" width="12.33203125" style="187" customWidth="1"/>
    <col min="11788" max="11788" width="14.33203125" style="187" customWidth="1"/>
    <col min="11789" max="11789" width="15.1640625" style="187" customWidth="1"/>
    <col min="11790" max="12032" width="9.33203125" style="187"/>
    <col min="12033" max="12033" width="5.83203125" style="187" customWidth="1"/>
    <col min="12034" max="12034" width="22.33203125" style="187" customWidth="1"/>
    <col min="12035" max="12035" width="13" style="187" customWidth="1"/>
    <col min="12036" max="12036" width="11" style="187" customWidth="1"/>
    <col min="12037" max="12037" width="15.5" style="187" customWidth="1"/>
    <col min="12038" max="12038" width="11.1640625" style="187" customWidth="1"/>
    <col min="12039" max="12039" width="13.33203125" style="187" customWidth="1"/>
    <col min="12040" max="12041" width="14" style="187" customWidth="1"/>
    <col min="12042" max="12042" width="13.33203125" style="187" customWidth="1"/>
    <col min="12043" max="12043" width="12.33203125" style="187" customWidth="1"/>
    <col min="12044" max="12044" width="14.33203125" style="187" customWidth="1"/>
    <col min="12045" max="12045" width="15.1640625" style="187" customWidth="1"/>
    <col min="12046" max="12288" width="9.33203125" style="187"/>
    <col min="12289" max="12289" width="5.83203125" style="187" customWidth="1"/>
    <col min="12290" max="12290" width="22.33203125" style="187" customWidth="1"/>
    <col min="12291" max="12291" width="13" style="187" customWidth="1"/>
    <col min="12292" max="12292" width="11" style="187" customWidth="1"/>
    <col min="12293" max="12293" width="15.5" style="187" customWidth="1"/>
    <col min="12294" max="12294" width="11.1640625" style="187" customWidth="1"/>
    <col min="12295" max="12295" width="13.33203125" style="187" customWidth="1"/>
    <col min="12296" max="12297" width="14" style="187" customWidth="1"/>
    <col min="12298" max="12298" width="13.33203125" style="187" customWidth="1"/>
    <col min="12299" max="12299" width="12.33203125" style="187" customWidth="1"/>
    <col min="12300" max="12300" width="14.33203125" style="187" customWidth="1"/>
    <col min="12301" max="12301" width="15.1640625" style="187" customWidth="1"/>
    <col min="12302" max="12544" width="9.33203125" style="187"/>
    <col min="12545" max="12545" width="5.83203125" style="187" customWidth="1"/>
    <col min="12546" max="12546" width="22.33203125" style="187" customWidth="1"/>
    <col min="12547" max="12547" width="13" style="187" customWidth="1"/>
    <col min="12548" max="12548" width="11" style="187" customWidth="1"/>
    <col min="12549" max="12549" width="15.5" style="187" customWidth="1"/>
    <col min="12550" max="12550" width="11.1640625" style="187" customWidth="1"/>
    <col min="12551" max="12551" width="13.33203125" style="187" customWidth="1"/>
    <col min="12552" max="12553" width="14" style="187" customWidth="1"/>
    <col min="12554" max="12554" width="13.33203125" style="187" customWidth="1"/>
    <col min="12555" max="12555" width="12.33203125" style="187" customWidth="1"/>
    <col min="12556" max="12556" width="14.33203125" style="187" customWidth="1"/>
    <col min="12557" max="12557" width="15.1640625" style="187" customWidth="1"/>
    <col min="12558" max="12800" width="9.33203125" style="187"/>
    <col min="12801" max="12801" width="5.83203125" style="187" customWidth="1"/>
    <col min="12802" max="12802" width="22.33203125" style="187" customWidth="1"/>
    <col min="12803" max="12803" width="13" style="187" customWidth="1"/>
    <col min="12804" max="12804" width="11" style="187" customWidth="1"/>
    <col min="12805" max="12805" width="15.5" style="187" customWidth="1"/>
    <col min="12806" max="12806" width="11.1640625" style="187" customWidth="1"/>
    <col min="12807" max="12807" width="13.33203125" style="187" customWidth="1"/>
    <col min="12808" max="12809" width="14" style="187" customWidth="1"/>
    <col min="12810" max="12810" width="13.33203125" style="187" customWidth="1"/>
    <col min="12811" max="12811" width="12.33203125" style="187" customWidth="1"/>
    <col min="12812" max="12812" width="14.33203125" style="187" customWidth="1"/>
    <col min="12813" max="12813" width="15.1640625" style="187" customWidth="1"/>
    <col min="12814" max="13056" width="9.33203125" style="187"/>
    <col min="13057" max="13057" width="5.83203125" style="187" customWidth="1"/>
    <col min="13058" max="13058" width="22.33203125" style="187" customWidth="1"/>
    <col min="13059" max="13059" width="13" style="187" customWidth="1"/>
    <col min="13060" max="13060" width="11" style="187" customWidth="1"/>
    <col min="13061" max="13061" width="15.5" style="187" customWidth="1"/>
    <col min="13062" max="13062" width="11.1640625" style="187" customWidth="1"/>
    <col min="13063" max="13063" width="13.33203125" style="187" customWidth="1"/>
    <col min="13064" max="13065" width="14" style="187" customWidth="1"/>
    <col min="13066" max="13066" width="13.33203125" style="187" customWidth="1"/>
    <col min="13067" max="13067" width="12.33203125" style="187" customWidth="1"/>
    <col min="13068" max="13068" width="14.33203125" style="187" customWidth="1"/>
    <col min="13069" max="13069" width="15.1640625" style="187" customWidth="1"/>
    <col min="13070" max="13312" width="9.33203125" style="187"/>
    <col min="13313" max="13313" width="5.83203125" style="187" customWidth="1"/>
    <col min="13314" max="13314" width="22.33203125" style="187" customWidth="1"/>
    <col min="13315" max="13315" width="13" style="187" customWidth="1"/>
    <col min="13316" max="13316" width="11" style="187" customWidth="1"/>
    <col min="13317" max="13317" width="15.5" style="187" customWidth="1"/>
    <col min="13318" max="13318" width="11.1640625" style="187" customWidth="1"/>
    <col min="13319" max="13319" width="13.33203125" style="187" customWidth="1"/>
    <col min="13320" max="13321" width="14" style="187" customWidth="1"/>
    <col min="13322" max="13322" width="13.33203125" style="187" customWidth="1"/>
    <col min="13323" max="13323" width="12.33203125" style="187" customWidth="1"/>
    <col min="13324" max="13324" width="14.33203125" style="187" customWidth="1"/>
    <col min="13325" max="13325" width="15.1640625" style="187" customWidth="1"/>
    <col min="13326" max="13568" width="9.33203125" style="187"/>
    <col min="13569" max="13569" width="5.83203125" style="187" customWidth="1"/>
    <col min="13570" max="13570" width="22.33203125" style="187" customWidth="1"/>
    <col min="13571" max="13571" width="13" style="187" customWidth="1"/>
    <col min="13572" max="13572" width="11" style="187" customWidth="1"/>
    <col min="13573" max="13573" width="15.5" style="187" customWidth="1"/>
    <col min="13574" max="13574" width="11.1640625" style="187" customWidth="1"/>
    <col min="13575" max="13575" width="13.33203125" style="187" customWidth="1"/>
    <col min="13576" max="13577" width="14" style="187" customWidth="1"/>
    <col min="13578" max="13578" width="13.33203125" style="187" customWidth="1"/>
    <col min="13579" max="13579" width="12.33203125" style="187" customWidth="1"/>
    <col min="13580" max="13580" width="14.33203125" style="187" customWidth="1"/>
    <col min="13581" max="13581" width="15.1640625" style="187" customWidth="1"/>
    <col min="13582" max="13824" width="9.33203125" style="187"/>
    <col min="13825" max="13825" width="5.83203125" style="187" customWidth="1"/>
    <col min="13826" max="13826" width="22.33203125" style="187" customWidth="1"/>
    <col min="13827" max="13827" width="13" style="187" customWidth="1"/>
    <col min="13828" max="13828" width="11" style="187" customWidth="1"/>
    <col min="13829" max="13829" width="15.5" style="187" customWidth="1"/>
    <col min="13830" max="13830" width="11.1640625" style="187" customWidth="1"/>
    <col min="13831" max="13831" width="13.33203125" style="187" customWidth="1"/>
    <col min="13832" max="13833" width="14" style="187" customWidth="1"/>
    <col min="13834" max="13834" width="13.33203125" style="187" customWidth="1"/>
    <col min="13835" max="13835" width="12.33203125" style="187" customWidth="1"/>
    <col min="13836" max="13836" width="14.33203125" style="187" customWidth="1"/>
    <col min="13837" max="13837" width="15.1640625" style="187" customWidth="1"/>
    <col min="13838" max="14080" width="9.33203125" style="187"/>
    <col min="14081" max="14081" width="5.83203125" style="187" customWidth="1"/>
    <col min="14082" max="14082" width="22.33203125" style="187" customWidth="1"/>
    <col min="14083" max="14083" width="13" style="187" customWidth="1"/>
    <col min="14084" max="14084" width="11" style="187" customWidth="1"/>
    <col min="14085" max="14085" width="15.5" style="187" customWidth="1"/>
    <col min="14086" max="14086" width="11.1640625" style="187" customWidth="1"/>
    <col min="14087" max="14087" width="13.33203125" style="187" customWidth="1"/>
    <col min="14088" max="14089" width="14" style="187" customWidth="1"/>
    <col min="14090" max="14090" width="13.33203125" style="187" customWidth="1"/>
    <col min="14091" max="14091" width="12.33203125" style="187" customWidth="1"/>
    <col min="14092" max="14092" width="14.33203125" style="187" customWidth="1"/>
    <col min="14093" max="14093" width="15.1640625" style="187" customWidth="1"/>
    <col min="14094" max="14336" width="9.33203125" style="187"/>
    <col min="14337" max="14337" width="5.83203125" style="187" customWidth="1"/>
    <col min="14338" max="14338" width="22.33203125" style="187" customWidth="1"/>
    <col min="14339" max="14339" width="13" style="187" customWidth="1"/>
    <col min="14340" max="14340" width="11" style="187" customWidth="1"/>
    <col min="14341" max="14341" width="15.5" style="187" customWidth="1"/>
    <col min="14342" max="14342" width="11.1640625" style="187" customWidth="1"/>
    <col min="14343" max="14343" width="13.33203125" style="187" customWidth="1"/>
    <col min="14344" max="14345" width="14" style="187" customWidth="1"/>
    <col min="14346" max="14346" width="13.33203125" style="187" customWidth="1"/>
    <col min="14347" max="14347" width="12.33203125" style="187" customWidth="1"/>
    <col min="14348" max="14348" width="14.33203125" style="187" customWidth="1"/>
    <col min="14349" max="14349" width="15.1640625" style="187" customWidth="1"/>
    <col min="14350" max="14592" width="9.33203125" style="187"/>
    <col min="14593" max="14593" width="5.83203125" style="187" customWidth="1"/>
    <col min="14594" max="14594" width="22.33203125" style="187" customWidth="1"/>
    <col min="14595" max="14595" width="13" style="187" customWidth="1"/>
    <col min="14596" max="14596" width="11" style="187" customWidth="1"/>
    <col min="14597" max="14597" width="15.5" style="187" customWidth="1"/>
    <col min="14598" max="14598" width="11.1640625" style="187" customWidth="1"/>
    <col min="14599" max="14599" width="13.33203125" style="187" customWidth="1"/>
    <col min="14600" max="14601" width="14" style="187" customWidth="1"/>
    <col min="14602" max="14602" width="13.33203125" style="187" customWidth="1"/>
    <col min="14603" max="14603" width="12.33203125" style="187" customWidth="1"/>
    <col min="14604" max="14604" width="14.33203125" style="187" customWidth="1"/>
    <col min="14605" max="14605" width="15.1640625" style="187" customWidth="1"/>
    <col min="14606" max="14848" width="9.33203125" style="187"/>
    <col min="14849" max="14849" width="5.83203125" style="187" customWidth="1"/>
    <col min="14850" max="14850" width="22.33203125" style="187" customWidth="1"/>
    <col min="14851" max="14851" width="13" style="187" customWidth="1"/>
    <col min="14852" max="14852" width="11" style="187" customWidth="1"/>
    <col min="14853" max="14853" width="15.5" style="187" customWidth="1"/>
    <col min="14854" max="14854" width="11.1640625" style="187" customWidth="1"/>
    <col min="14855" max="14855" width="13.33203125" style="187" customWidth="1"/>
    <col min="14856" max="14857" width="14" style="187" customWidth="1"/>
    <col min="14858" max="14858" width="13.33203125" style="187" customWidth="1"/>
    <col min="14859" max="14859" width="12.33203125" style="187" customWidth="1"/>
    <col min="14860" max="14860" width="14.33203125" style="187" customWidth="1"/>
    <col min="14861" max="14861" width="15.1640625" style="187" customWidth="1"/>
    <col min="14862" max="15104" width="9.33203125" style="187"/>
    <col min="15105" max="15105" width="5.83203125" style="187" customWidth="1"/>
    <col min="15106" max="15106" width="22.33203125" style="187" customWidth="1"/>
    <col min="15107" max="15107" width="13" style="187" customWidth="1"/>
    <col min="15108" max="15108" width="11" style="187" customWidth="1"/>
    <col min="15109" max="15109" width="15.5" style="187" customWidth="1"/>
    <col min="15110" max="15110" width="11.1640625" style="187" customWidth="1"/>
    <col min="15111" max="15111" width="13.33203125" style="187" customWidth="1"/>
    <col min="15112" max="15113" width="14" style="187" customWidth="1"/>
    <col min="15114" max="15114" width="13.33203125" style="187" customWidth="1"/>
    <col min="15115" max="15115" width="12.33203125" style="187" customWidth="1"/>
    <col min="15116" max="15116" width="14.33203125" style="187" customWidth="1"/>
    <col min="15117" max="15117" width="15.1640625" style="187" customWidth="1"/>
    <col min="15118" max="15360" width="9.33203125" style="187"/>
    <col min="15361" max="15361" width="5.83203125" style="187" customWidth="1"/>
    <col min="15362" max="15362" width="22.33203125" style="187" customWidth="1"/>
    <col min="15363" max="15363" width="13" style="187" customWidth="1"/>
    <col min="15364" max="15364" width="11" style="187" customWidth="1"/>
    <col min="15365" max="15365" width="15.5" style="187" customWidth="1"/>
    <col min="15366" max="15366" width="11.1640625" style="187" customWidth="1"/>
    <col min="15367" max="15367" width="13.33203125" style="187" customWidth="1"/>
    <col min="15368" max="15369" width="14" style="187" customWidth="1"/>
    <col min="15370" max="15370" width="13.33203125" style="187" customWidth="1"/>
    <col min="15371" max="15371" width="12.33203125" style="187" customWidth="1"/>
    <col min="15372" max="15372" width="14.33203125" style="187" customWidth="1"/>
    <col min="15373" max="15373" width="15.1640625" style="187" customWidth="1"/>
    <col min="15374" max="15616" width="9.33203125" style="187"/>
    <col min="15617" max="15617" width="5.83203125" style="187" customWidth="1"/>
    <col min="15618" max="15618" width="22.33203125" style="187" customWidth="1"/>
    <col min="15619" max="15619" width="13" style="187" customWidth="1"/>
    <col min="15620" max="15620" width="11" style="187" customWidth="1"/>
    <col min="15621" max="15621" width="15.5" style="187" customWidth="1"/>
    <col min="15622" max="15622" width="11.1640625" style="187" customWidth="1"/>
    <col min="15623" max="15623" width="13.33203125" style="187" customWidth="1"/>
    <col min="15624" max="15625" width="14" style="187" customWidth="1"/>
    <col min="15626" max="15626" width="13.33203125" style="187" customWidth="1"/>
    <col min="15627" max="15627" width="12.33203125" style="187" customWidth="1"/>
    <col min="15628" max="15628" width="14.33203125" style="187" customWidth="1"/>
    <col min="15629" max="15629" width="15.1640625" style="187" customWidth="1"/>
    <col min="15630" max="15872" width="9.33203125" style="187"/>
    <col min="15873" max="15873" width="5.83203125" style="187" customWidth="1"/>
    <col min="15874" max="15874" width="22.33203125" style="187" customWidth="1"/>
    <col min="15875" max="15875" width="13" style="187" customWidth="1"/>
    <col min="15876" max="15876" width="11" style="187" customWidth="1"/>
    <col min="15877" max="15877" width="15.5" style="187" customWidth="1"/>
    <col min="15878" max="15878" width="11.1640625" style="187" customWidth="1"/>
    <col min="15879" max="15879" width="13.33203125" style="187" customWidth="1"/>
    <col min="15880" max="15881" width="14" style="187" customWidth="1"/>
    <col min="15882" max="15882" width="13.33203125" style="187" customWidth="1"/>
    <col min="15883" max="15883" width="12.33203125" style="187" customWidth="1"/>
    <col min="15884" max="15884" width="14.33203125" style="187" customWidth="1"/>
    <col min="15885" max="15885" width="15.1640625" style="187" customWidth="1"/>
    <col min="15886" max="16128" width="9.33203125" style="187"/>
    <col min="16129" max="16129" width="5.83203125" style="187" customWidth="1"/>
    <col min="16130" max="16130" width="22.33203125" style="187" customWidth="1"/>
    <col min="16131" max="16131" width="13" style="187" customWidth="1"/>
    <col min="16132" max="16132" width="11" style="187" customWidth="1"/>
    <col min="16133" max="16133" width="15.5" style="187" customWidth="1"/>
    <col min="16134" max="16134" width="11.1640625" style="187" customWidth="1"/>
    <col min="16135" max="16135" width="13.33203125" style="187" customWidth="1"/>
    <col min="16136" max="16137" width="14" style="187" customWidth="1"/>
    <col min="16138" max="16138" width="13.33203125" style="187" customWidth="1"/>
    <col min="16139" max="16139" width="12.33203125" style="187" customWidth="1"/>
    <col min="16140" max="16140" width="14.33203125" style="187" customWidth="1"/>
    <col min="16141" max="16141" width="15.1640625" style="187" customWidth="1"/>
    <col min="16142" max="16384" width="9.33203125" style="187"/>
  </cols>
  <sheetData>
    <row r="1" spans="1:13" ht="33" customHeight="1" x14ac:dyDescent="0.2">
      <c r="A1" s="1162" t="s">
        <v>779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</row>
    <row r="2" spans="1:13" ht="15" x14ac:dyDescent="0.2">
      <c r="A2" s="668"/>
      <c r="B2" s="189"/>
      <c r="C2" s="189"/>
      <c r="D2" s="669"/>
      <c r="E2" s="191"/>
      <c r="F2" s="191"/>
      <c r="G2" s="192"/>
      <c r="H2" s="192"/>
      <c r="I2" s="191"/>
    </row>
    <row r="3" spans="1:13" ht="15" x14ac:dyDescent="0.2">
      <c r="A3" s="668"/>
      <c r="B3" s="670"/>
      <c r="C3" s="670"/>
      <c r="D3" s="671"/>
      <c r="E3" s="669"/>
      <c r="F3" s="669"/>
      <c r="G3" s="669"/>
      <c r="H3" s="669"/>
      <c r="I3" s="669"/>
      <c r="K3" s="1175" t="s">
        <v>1</v>
      </c>
      <c r="L3" s="1175"/>
      <c r="M3" s="1175"/>
    </row>
    <row r="4" spans="1:13" s="202" customFormat="1" ht="75.75" customHeight="1" x14ac:dyDescent="0.2">
      <c r="A4" s="672" t="s">
        <v>365</v>
      </c>
      <c r="B4" s="673" t="s">
        <v>401</v>
      </c>
      <c r="C4" s="673" t="s">
        <v>402</v>
      </c>
      <c r="D4" s="673" t="s">
        <v>412</v>
      </c>
      <c r="E4" s="673" t="s">
        <v>201</v>
      </c>
      <c r="F4" s="673" t="s">
        <v>413</v>
      </c>
      <c r="G4" s="674" t="s">
        <v>205</v>
      </c>
      <c r="H4" s="674" t="s">
        <v>414</v>
      </c>
      <c r="I4" s="674" t="s">
        <v>226</v>
      </c>
      <c r="J4" s="200" t="s">
        <v>228</v>
      </c>
      <c r="K4" s="677" t="s">
        <v>230</v>
      </c>
      <c r="L4" s="200" t="s">
        <v>415</v>
      </c>
      <c r="M4" s="678" t="s">
        <v>416</v>
      </c>
    </row>
    <row r="5" spans="1:13" ht="46.5" customHeight="1" x14ac:dyDescent="0.2">
      <c r="A5" s="675" t="s">
        <v>9</v>
      </c>
      <c r="B5" s="916" t="s">
        <v>612</v>
      </c>
      <c r="C5" s="917" t="s">
        <v>611</v>
      </c>
      <c r="D5" s="679"/>
      <c r="E5" s="680"/>
      <c r="F5" s="680"/>
      <c r="G5" s="681"/>
      <c r="H5" s="681"/>
      <c r="I5" s="680"/>
      <c r="J5" s="232"/>
      <c r="K5" s="233"/>
      <c r="L5" s="232"/>
      <c r="M5" s="234">
        <f>SUM(D5:L5)</f>
        <v>0</v>
      </c>
    </row>
    <row r="6" spans="1:13" ht="46.5" customHeight="1" x14ac:dyDescent="0.2">
      <c r="A6" s="635" t="s">
        <v>15</v>
      </c>
      <c r="B6" s="918" t="s">
        <v>616</v>
      </c>
      <c r="C6" s="919" t="s">
        <v>615</v>
      </c>
      <c r="D6" s="636"/>
      <c r="E6" s="637"/>
      <c r="F6" s="637"/>
      <c r="G6" s="638"/>
      <c r="H6" s="638"/>
      <c r="I6" s="637"/>
      <c r="J6" s="639"/>
      <c r="K6" s="640"/>
      <c r="L6" s="639"/>
      <c r="M6" s="234">
        <f>SUM(D6:L6)</f>
        <v>0</v>
      </c>
    </row>
    <row r="7" spans="1:13" ht="46.5" customHeight="1" x14ac:dyDescent="0.2">
      <c r="A7" s="204" t="s">
        <v>18</v>
      </c>
      <c r="B7" s="920" t="s">
        <v>614</v>
      </c>
      <c r="C7" s="921" t="s">
        <v>613</v>
      </c>
      <c r="D7" s="235"/>
      <c r="E7" s="236"/>
      <c r="F7" s="236"/>
      <c r="G7" s="237"/>
      <c r="H7" s="237"/>
      <c r="I7" s="236"/>
      <c r="J7" s="238"/>
      <c r="K7" s="239"/>
      <c r="L7" s="240"/>
      <c r="M7" s="234">
        <f>SUM(D7:L7)</f>
        <v>0</v>
      </c>
    </row>
    <row r="8" spans="1:13" s="209" customFormat="1" ht="33" customHeight="1" x14ac:dyDescent="0.25">
      <c r="A8" s="205" t="s">
        <v>21</v>
      </c>
      <c r="B8" s="206" t="s">
        <v>366</v>
      </c>
      <c r="C8" s="676"/>
      <c r="D8" s="208">
        <f t="shared" ref="D8:M8" si="0">SUM(D5:D7)</f>
        <v>0</v>
      </c>
      <c r="E8" s="208">
        <f t="shared" si="0"/>
        <v>0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208">
        <f t="shared" si="0"/>
        <v>0</v>
      </c>
      <c r="L8" s="208">
        <f t="shared" si="0"/>
        <v>0</v>
      </c>
      <c r="M8" s="241">
        <f t="shared" si="0"/>
        <v>0</v>
      </c>
    </row>
    <row r="9" spans="1:13" ht="21" customHeight="1" x14ac:dyDescent="0.2">
      <c r="A9" s="210"/>
      <c r="B9" s="211"/>
      <c r="C9" s="211"/>
      <c r="D9" s="212"/>
      <c r="E9" s="213"/>
      <c r="F9" s="212"/>
      <c r="G9" s="212"/>
      <c r="H9" s="212"/>
      <c r="I9" s="214"/>
    </row>
    <row r="10" spans="1:13" ht="42" customHeight="1" x14ac:dyDescent="0.2">
      <c r="A10" s="210"/>
      <c r="B10" s="215"/>
      <c r="C10" s="216"/>
      <c r="D10" s="217"/>
      <c r="E10" s="213"/>
      <c r="F10" s="213"/>
      <c r="G10" s="212"/>
      <c r="H10" s="212"/>
      <c r="I10" s="212"/>
    </row>
    <row r="11" spans="1:13" ht="42" customHeight="1" x14ac:dyDescent="0.2">
      <c r="A11" s="218"/>
      <c r="B11" s="219"/>
      <c r="C11" s="220"/>
      <c r="D11" s="221"/>
      <c r="E11" s="191"/>
      <c r="F11" s="191"/>
      <c r="G11" s="192"/>
      <c r="H11" s="192"/>
      <c r="I11" s="192"/>
    </row>
    <row r="12" spans="1:13" ht="15" x14ac:dyDescent="0.2">
      <c r="A12" s="668"/>
      <c r="B12" s="189"/>
      <c r="C12" s="189"/>
      <c r="D12" s="669"/>
      <c r="E12" s="669"/>
      <c r="F12" s="669"/>
      <c r="G12" s="669"/>
      <c r="H12" s="669"/>
      <c r="I12" s="669"/>
    </row>
    <row r="13" spans="1:13" s="223" customFormat="1" ht="15" x14ac:dyDescent="0.2">
      <c r="A13" s="668"/>
      <c r="B13" s="189"/>
      <c r="C13" s="189"/>
      <c r="D13" s="669"/>
      <c r="E13" s="191"/>
      <c r="F13" s="222"/>
      <c r="G13" s="222"/>
      <c r="H13" s="222"/>
      <c r="I13" s="222"/>
    </row>
  </sheetData>
  <mergeCells count="2">
    <mergeCell ref="A1:M1"/>
    <mergeCell ref="K3:M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30"/>
  <sheetViews>
    <sheetView workbookViewId="0">
      <selection activeCell="B32" sqref="B32"/>
    </sheetView>
  </sheetViews>
  <sheetFormatPr defaultColWidth="9.33203125" defaultRowHeight="12.75" x14ac:dyDescent="0.2"/>
  <cols>
    <col min="1" max="1" width="9.33203125" style="134"/>
    <col min="2" max="2" width="88.83203125" style="134" customWidth="1"/>
    <col min="3" max="3" width="17.83203125" style="134" customWidth="1"/>
    <col min="4" max="11" width="21.5" style="134" customWidth="1"/>
    <col min="12" max="16384" width="9.33203125" style="134"/>
  </cols>
  <sheetData>
    <row r="7" spans="1:10" x14ac:dyDescent="0.2">
      <c r="A7" s="1165"/>
      <c r="B7" s="1166" t="s">
        <v>262</v>
      </c>
      <c r="C7" s="1165" t="s">
        <v>722</v>
      </c>
      <c r="D7" s="1165"/>
      <c r="E7" s="1165"/>
      <c r="F7" s="1165"/>
      <c r="G7" s="1165"/>
      <c r="H7" s="1165"/>
      <c r="I7" s="1165"/>
      <c r="J7" s="1165"/>
    </row>
    <row r="8" spans="1:10" x14ac:dyDescent="0.2">
      <c r="A8" s="1165"/>
      <c r="B8" s="1167"/>
      <c r="C8" s="1165" t="s">
        <v>412</v>
      </c>
      <c r="D8" s="1165"/>
      <c r="E8" s="1165"/>
      <c r="F8" s="1165"/>
      <c r="G8" s="1165"/>
      <c r="H8" s="1165"/>
      <c r="I8" s="1165"/>
      <c r="J8" s="1165"/>
    </row>
    <row r="9" spans="1:10" ht="45" x14ac:dyDescent="0.25">
      <c r="A9" s="1165"/>
      <c r="B9" s="1168"/>
      <c r="C9" s="950" t="s">
        <v>781</v>
      </c>
      <c r="D9" s="951" t="s">
        <v>839</v>
      </c>
      <c r="E9" s="951" t="s">
        <v>840</v>
      </c>
      <c r="F9" s="951" t="s">
        <v>841</v>
      </c>
      <c r="G9" s="951"/>
      <c r="H9" s="951"/>
      <c r="I9" s="951"/>
      <c r="J9" s="951" t="s">
        <v>850</v>
      </c>
    </row>
    <row r="10" spans="1:10" ht="15.75" x14ac:dyDescent="0.2">
      <c r="A10" s="941" t="s">
        <v>9</v>
      </c>
      <c r="B10" s="942" t="s">
        <v>799</v>
      </c>
      <c r="C10" s="943">
        <f>SUM(D10:J10)</f>
        <v>45402173</v>
      </c>
      <c r="D10" s="943"/>
      <c r="E10" s="943"/>
      <c r="F10" s="943"/>
      <c r="G10" s="943"/>
      <c r="H10" s="943"/>
      <c r="I10" s="952"/>
      <c r="J10" s="973">
        <f>'[18]201712'!$AB$209+'[18]Összesen 1-11 hó'!$AB$208</f>
        <v>45402173</v>
      </c>
    </row>
    <row r="11" spans="1:10" ht="15.75" x14ac:dyDescent="0.2">
      <c r="A11" s="941" t="s">
        <v>12</v>
      </c>
      <c r="B11" s="942" t="s">
        <v>800</v>
      </c>
      <c r="C11" s="943">
        <f t="shared" ref="C11:C18" si="0">SUM(D11:J11)</f>
        <v>0</v>
      </c>
      <c r="D11" s="943"/>
      <c r="E11" s="943"/>
      <c r="F11" s="943"/>
      <c r="G11" s="943"/>
      <c r="H11" s="943"/>
      <c r="I11" s="952"/>
      <c r="J11" s="952"/>
    </row>
    <row r="12" spans="1:10" ht="15.75" x14ac:dyDescent="0.25">
      <c r="A12" s="941" t="s">
        <v>15</v>
      </c>
      <c r="B12" s="946" t="s">
        <v>785</v>
      </c>
      <c r="C12" s="943">
        <f t="shared" si="0"/>
        <v>0</v>
      </c>
      <c r="D12" s="943"/>
      <c r="E12" s="943"/>
      <c r="F12" s="943"/>
      <c r="G12" s="943"/>
      <c r="H12" s="943"/>
      <c r="I12" s="952"/>
      <c r="J12" s="952"/>
    </row>
    <row r="13" spans="1:10" ht="15.75" x14ac:dyDescent="0.2">
      <c r="A13" s="941" t="s">
        <v>18</v>
      </c>
      <c r="B13" s="942" t="s">
        <v>782</v>
      </c>
      <c r="C13" s="943">
        <f t="shared" si="0"/>
        <v>958850</v>
      </c>
      <c r="D13" s="943"/>
      <c r="E13" s="943"/>
      <c r="F13" s="943"/>
      <c r="G13" s="943"/>
      <c r="H13" s="943"/>
      <c r="I13" s="952"/>
      <c r="J13" s="973">
        <f>[18]Egyéb!$F$209</f>
        <v>958850</v>
      </c>
    </row>
    <row r="14" spans="1:10" ht="15.75" x14ac:dyDescent="0.2">
      <c r="A14" s="941" t="s">
        <v>21</v>
      </c>
      <c r="B14" s="944" t="s">
        <v>784</v>
      </c>
      <c r="C14" s="943">
        <f t="shared" si="0"/>
        <v>780000</v>
      </c>
      <c r="D14" s="943"/>
      <c r="E14" s="943"/>
      <c r="F14" s="943"/>
      <c r="G14" s="943"/>
      <c r="H14" s="943"/>
      <c r="I14" s="952"/>
      <c r="J14" s="973">
        <f>[18]Cafetéria!$D$209</f>
        <v>780000</v>
      </c>
    </row>
    <row r="15" spans="1:10" ht="15.75" x14ac:dyDescent="0.2">
      <c r="A15" s="941" t="s">
        <v>24</v>
      </c>
      <c r="B15" s="942" t="s">
        <v>783</v>
      </c>
      <c r="C15" s="943">
        <f t="shared" si="0"/>
        <v>459720</v>
      </c>
      <c r="D15" s="943"/>
      <c r="E15" s="943"/>
      <c r="F15" s="943"/>
      <c r="G15" s="943"/>
      <c r="H15" s="943"/>
      <c r="I15" s="952"/>
      <c r="J15" s="973">
        <f>'[18]Munkába járás'!$C$209</f>
        <v>459720</v>
      </c>
    </row>
    <row r="16" spans="1:10" ht="15.75" x14ac:dyDescent="0.2">
      <c r="A16" s="941" t="s">
        <v>27</v>
      </c>
      <c r="B16" s="942" t="s">
        <v>803</v>
      </c>
      <c r="C16" s="943">
        <f t="shared" si="0"/>
        <v>0</v>
      </c>
      <c r="D16" s="943"/>
      <c r="E16" s="943"/>
      <c r="F16" s="943"/>
      <c r="G16" s="943"/>
      <c r="H16" s="943"/>
      <c r="I16" s="952"/>
      <c r="J16" s="952"/>
    </row>
    <row r="17" spans="1:10" ht="15.75" x14ac:dyDescent="0.2">
      <c r="A17" s="941" t="s">
        <v>30</v>
      </c>
      <c r="B17" s="942" t="s">
        <v>801</v>
      </c>
      <c r="C17" s="943">
        <f t="shared" si="0"/>
        <v>0</v>
      </c>
      <c r="D17" s="943"/>
      <c r="E17" s="943"/>
      <c r="F17" s="943"/>
      <c r="G17" s="943"/>
      <c r="H17" s="943"/>
      <c r="I17" s="952"/>
      <c r="J17" s="952"/>
    </row>
    <row r="18" spans="1:10" ht="15.75" x14ac:dyDescent="0.2">
      <c r="A18" s="941" t="s">
        <v>33</v>
      </c>
      <c r="B18" s="945" t="s">
        <v>802</v>
      </c>
      <c r="C18" s="943">
        <f t="shared" si="0"/>
        <v>720000</v>
      </c>
      <c r="D18" s="943"/>
      <c r="E18" s="943"/>
      <c r="F18" s="943"/>
      <c r="G18" s="943"/>
      <c r="H18" s="943"/>
      <c r="I18" s="952"/>
      <c r="J18" s="973">
        <f>'[19]Megbízási díj'!$C$4</f>
        <v>720000</v>
      </c>
    </row>
    <row r="19" spans="1:10" ht="15.75" x14ac:dyDescent="0.2">
      <c r="A19" s="941" t="s">
        <v>59</v>
      </c>
      <c r="B19" s="947" t="s">
        <v>798</v>
      </c>
      <c r="C19" s="948">
        <f t="shared" ref="C19:J19" si="1">SUM(C10:C18)</f>
        <v>48320743</v>
      </c>
      <c r="D19" s="948">
        <f t="shared" si="1"/>
        <v>0</v>
      </c>
      <c r="E19" s="948">
        <f t="shared" si="1"/>
        <v>0</v>
      </c>
      <c r="F19" s="948">
        <f t="shared" si="1"/>
        <v>0</v>
      </c>
      <c r="G19" s="948">
        <f t="shared" si="1"/>
        <v>0</v>
      </c>
      <c r="H19" s="948">
        <f t="shared" si="1"/>
        <v>0</v>
      </c>
      <c r="I19" s="948">
        <f t="shared" si="1"/>
        <v>0</v>
      </c>
      <c r="J19" s="948">
        <f t="shared" si="1"/>
        <v>48320743</v>
      </c>
    </row>
    <row r="20" spans="1:10" ht="15.75" x14ac:dyDescent="0.2">
      <c r="A20" s="941" t="s">
        <v>61</v>
      </c>
      <c r="B20" s="942" t="s">
        <v>787</v>
      </c>
      <c r="C20" s="943">
        <f>SUM(D20:J20)</f>
        <v>9272892.9350000005</v>
      </c>
      <c r="D20" s="943"/>
      <c r="E20" s="943"/>
      <c r="F20" s="943"/>
      <c r="G20" s="943"/>
      <c r="H20" s="943"/>
      <c r="I20" s="952"/>
      <c r="J20" s="973">
        <f>'[18]201712'!$AH$209+'[18]Összesen 1-11 hó'!$AH$208+[18]Egyéb!$H$209+'[19]Megbízási díj'!$D$4</f>
        <v>9272892.9350000005</v>
      </c>
    </row>
    <row r="21" spans="1:10" ht="15.75" x14ac:dyDescent="0.2">
      <c r="A21" s="941" t="s">
        <v>63</v>
      </c>
      <c r="B21" s="942" t="s">
        <v>789</v>
      </c>
      <c r="C21" s="943">
        <f t="shared" ref="C21:C23" si="2">SUM(D21:J21)</f>
        <v>128856.00000000001</v>
      </c>
      <c r="D21" s="943"/>
      <c r="E21" s="943"/>
      <c r="F21" s="943"/>
      <c r="G21" s="943"/>
      <c r="H21" s="943"/>
      <c r="I21" s="952"/>
      <c r="J21" s="973">
        <f>[18]Cafetéria!$F$209</f>
        <v>128856.00000000001</v>
      </c>
    </row>
    <row r="22" spans="1:10" ht="15.75" x14ac:dyDescent="0.2">
      <c r="A22" s="941"/>
      <c r="B22" s="942" t="s">
        <v>788</v>
      </c>
      <c r="C22" s="943">
        <f>SUM(D22:J22)</f>
        <v>138060</v>
      </c>
      <c r="D22" s="943"/>
      <c r="E22" s="943"/>
      <c r="F22" s="943"/>
      <c r="G22" s="943"/>
      <c r="H22" s="943"/>
      <c r="I22" s="952"/>
      <c r="J22" s="973">
        <f>[18]Cafetéria!$E$209</f>
        <v>138060</v>
      </c>
    </row>
    <row r="23" spans="1:10" ht="15.75" x14ac:dyDescent="0.2">
      <c r="A23" s="941" t="s">
        <v>65</v>
      </c>
      <c r="B23" s="942" t="s">
        <v>797</v>
      </c>
      <c r="C23" s="943">
        <f t="shared" si="2"/>
        <v>0</v>
      </c>
      <c r="D23" s="943"/>
      <c r="E23" s="943"/>
      <c r="F23" s="943"/>
      <c r="G23" s="943"/>
      <c r="H23" s="943"/>
      <c r="I23" s="952"/>
      <c r="J23" s="952"/>
    </row>
    <row r="24" spans="1:10" ht="15.75" x14ac:dyDescent="0.2">
      <c r="A24" s="941" t="s">
        <v>67</v>
      </c>
      <c r="B24" s="947" t="s">
        <v>786</v>
      </c>
      <c r="C24" s="948">
        <f>SUM(C20:C23)</f>
        <v>9539808.9350000005</v>
      </c>
      <c r="D24" s="948">
        <f t="shared" ref="D24:J24" si="3">SUM(D20:D23)</f>
        <v>0</v>
      </c>
      <c r="E24" s="948">
        <f t="shared" si="3"/>
        <v>0</v>
      </c>
      <c r="F24" s="948">
        <f t="shared" si="3"/>
        <v>0</v>
      </c>
      <c r="G24" s="948">
        <f t="shared" si="3"/>
        <v>0</v>
      </c>
      <c r="H24" s="948">
        <f t="shared" si="3"/>
        <v>0</v>
      </c>
      <c r="I24" s="948">
        <f t="shared" si="3"/>
        <v>0</v>
      </c>
      <c r="J24" s="948">
        <f t="shared" si="3"/>
        <v>9539808.9350000005</v>
      </c>
    </row>
    <row r="29" spans="1:10" ht="15" x14ac:dyDescent="0.25">
      <c r="D29" s="961"/>
      <c r="E29" s="961"/>
      <c r="F29" s="961"/>
    </row>
    <row r="30" spans="1:10" ht="15" x14ac:dyDescent="0.25">
      <c r="D30" s="949"/>
      <c r="E30" s="949"/>
      <c r="F30" s="949"/>
    </row>
  </sheetData>
  <mergeCells count="4">
    <mergeCell ref="A7:A9"/>
    <mergeCell ref="B7:B9"/>
    <mergeCell ref="C7:J7"/>
    <mergeCell ref="C8:J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7:V53"/>
  <sheetViews>
    <sheetView topLeftCell="A7" workbookViewId="0">
      <selection activeCell="C19" sqref="C19"/>
    </sheetView>
  </sheetViews>
  <sheetFormatPr defaultRowHeight="12.75" x14ac:dyDescent="0.2"/>
  <cols>
    <col min="3" max="3" width="88.83203125" customWidth="1"/>
    <col min="4" max="4" width="17.83203125" customWidth="1"/>
    <col min="5" max="11" width="21.5" customWidth="1"/>
    <col min="12" max="21" width="22.5" customWidth="1"/>
  </cols>
  <sheetData>
    <row r="7" spans="2:22" x14ac:dyDescent="0.2">
      <c r="U7" s="953"/>
    </row>
    <row r="8" spans="2:22" x14ac:dyDescent="0.2">
      <c r="U8" s="953"/>
    </row>
    <row r="9" spans="2:22" x14ac:dyDescent="0.2">
      <c r="U9" s="953"/>
    </row>
    <row r="10" spans="2:22" x14ac:dyDescent="0.2">
      <c r="B10" s="1165"/>
      <c r="C10" s="1166" t="s">
        <v>262</v>
      </c>
      <c r="D10" s="1165" t="s">
        <v>722</v>
      </c>
      <c r="E10" s="1165"/>
      <c r="F10" s="1165"/>
      <c r="G10" s="1165"/>
      <c r="H10" s="1165"/>
      <c r="I10" s="1165"/>
      <c r="J10" s="1165"/>
      <c r="K10" s="1165"/>
      <c r="U10" s="953"/>
    </row>
    <row r="11" spans="2:22" ht="12.75" customHeight="1" x14ac:dyDescent="0.2">
      <c r="B11" s="1165"/>
      <c r="C11" s="1167"/>
      <c r="D11" s="1165" t="s">
        <v>413</v>
      </c>
      <c r="E11" s="1165"/>
      <c r="F11" s="1165"/>
      <c r="G11" s="1165"/>
      <c r="H11" s="1165"/>
      <c r="I11" s="1165"/>
      <c r="J11" s="1165"/>
      <c r="K11" s="1165"/>
      <c r="U11" s="953"/>
    </row>
    <row r="12" spans="2:22" ht="93.75" customHeight="1" x14ac:dyDescent="0.25">
      <c r="B12" s="1165"/>
      <c r="C12" s="1168"/>
      <c r="D12" s="950" t="s">
        <v>781</v>
      </c>
      <c r="E12" s="951"/>
      <c r="F12" s="951"/>
      <c r="G12" s="951"/>
      <c r="H12" s="951"/>
      <c r="I12" s="951"/>
      <c r="J12" s="951"/>
      <c r="K12" s="951" t="s">
        <v>852</v>
      </c>
      <c r="M12" t="s">
        <v>849</v>
      </c>
      <c r="N12" t="s">
        <v>861</v>
      </c>
      <c r="U12" s="953"/>
    </row>
    <row r="13" spans="2:22" ht="15.75" x14ac:dyDescent="0.2">
      <c r="B13" s="941"/>
      <c r="C13" s="955" t="s">
        <v>804</v>
      </c>
      <c r="D13" s="943">
        <f>SUM(E13:K13)</f>
        <v>0</v>
      </c>
      <c r="E13" s="943"/>
      <c r="F13" s="943"/>
      <c r="G13" s="943"/>
      <c r="H13" s="943"/>
      <c r="I13" s="943"/>
      <c r="J13" s="952"/>
      <c r="K13" s="983">
        <f>M13+N13</f>
        <v>0</v>
      </c>
      <c r="L13" s="962"/>
      <c r="M13" s="962"/>
      <c r="N13" s="962"/>
      <c r="O13" s="962"/>
      <c r="P13" s="962"/>
      <c r="Q13" s="962"/>
      <c r="R13" s="962"/>
      <c r="S13" s="962"/>
      <c r="T13" s="962"/>
      <c r="U13" s="969"/>
      <c r="V13" s="962"/>
    </row>
    <row r="14" spans="2:22" ht="15.75" x14ac:dyDescent="0.2">
      <c r="B14" s="941"/>
      <c r="C14" s="955" t="s">
        <v>805</v>
      </c>
      <c r="D14" s="943">
        <f t="shared" ref="D14:D32" si="0">SUM(E14:K14)</f>
        <v>242047</v>
      </c>
      <c r="E14" s="943"/>
      <c r="F14" s="943"/>
      <c r="G14" s="943"/>
      <c r="H14" s="943"/>
      <c r="I14" s="943"/>
      <c r="J14" s="952"/>
      <c r="K14" s="983">
        <f t="shared" ref="K14:K32" si="1">M14+N14</f>
        <v>242047</v>
      </c>
      <c r="L14" s="962"/>
      <c r="M14" s="962">
        <v>5827</v>
      </c>
      <c r="N14" s="962">
        <v>236220</v>
      </c>
      <c r="O14" s="962"/>
      <c r="P14" s="962"/>
      <c r="Q14" s="962"/>
      <c r="R14" s="962"/>
      <c r="S14" s="962"/>
      <c r="T14" s="962"/>
      <c r="U14" s="969"/>
      <c r="V14" s="962"/>
    </row>
    <row r="15" spans="2:22" ht="15.75" x14ac:dyDescent="0.2">
      <c r="B15" s="941"/>
      <c r="C15" s="955" t="s">
        <v>817</v>
      </c>
      <c r="D15" s="943">
        <f t="shared" si="0"/>
        <v>0</v>
      </c>
      <c r="E15" s="943"/>
      <c r="F15" s="943"/>
      <c r="G15" s="943"/>
      <c r="H15" s="943"/>
      <c r="I15" s="943"/>
      <c r="J15" s="952"/>
      <c r="K15" s="983">
        <f t="shared" si="1"/>
        <v>0</v>
      </c>
      <c r="L15" s="962"/>
      <c r="M15" s="962"/>
      <c r="N15" s="962"/>
      <c r="O15" s="962"/>
      <c r="P15" s="962"/>
      <c r="Q15" s="962"/>
      <c r="R15" s="962"/>
      <c r="S15" s="962"/>
      <c r="T15" s="962"/>
      <c r="U15" s="969"/>
      <c r="V15" s="962"/>
    </row>
    <row r="16" spans="2:22" ht="15.75" x14ac:dyDescent="0.2">
      <c r="B16" s="941"/>
      <c r="C16" s="955" t="s">
        <v>806</v>
      </c>
      <c r="D16" s="943">
        <f t="shared" si="0"/>
        <v>78740</v>
      </c>
      <c r="E16" s="943"/>
      <c r="F16" s="943"/>
      <c r="G16" s="943"/>
      <c r="H16" s="943"/>
      <c r="I16" s="943"/>
      <c r="J16" s="952"/>
      <c r="K16" s="983">
        <f t="shared" si="1"/>
        <v>78740</v>
      </c>
      <c r="L16" s="962"/>
      <c r="M16" s="962"/>
      <c r="N16" s="962">
        <v>78740</v>
      </c>
      <c r="O16" s="962"/>
      <c r="P16" s="962"/>
      <c r="Q16" s="962"/>
      <c r="R16" s="962"/>
      <c r="S16" s="962"/>
      <c r="T16" s="962"/>
      <c r="U16" s="969"/>
      <c r="V16" s="962"/>
    </row>
    <row r="17" spans="2:22" ht="15.75" x14ac:dyDescent="0.2">
      <c r="B17" s="941"/>
      <c r="C17" s="955" t="s">
        <v>807</v>
      </c>
      <c r="D17" s="943">
        <f t="shared" si="0"/>
        <v>81290</v>
      </c>
      <c r="E17" s="943"/>
      <c r="F17" s="943"/>
      <c r="G17" s="943"/>
      <c r="H17" s="943"/>
      <c r="I17" s="943"/>
      <c r="J17" s="952"/>
      <c r="K17" s="983">
        <f t="shared" si="1"/>
        <v>81290</v>
      </c>
      <c r="L17" s="962"/>
      <c r="M17" s="962">
        <v>2550</v>
      </c>
      <c r="N17" s="962">
        <v>78740</v>
      </c>
      <c r="O17" s="962"/>
      <c r="P17" s="962"/>
      <c r="Q17" s="962"/>
      <c r="R17" s="962"/>
      <c r="S17" s="962"/>
      <c r="T17" s="962"/>
      <c r="U17" s="969"/>
      <c r="V17" s="962"/>
    </row>
    <row r="18" spans="2:22" s="967" customFormat="1" ht="15.75" x14ac:dyDescent="0.2">
      <c r="B18" s="964"/>
      <c r="C18" s="955" t="s">
        <v>857</v>
      </c>
      <c r="D18" s="943">
        <f t="shared" si="0"/>
        <v>370047.7086614173</v>
      </c>
      <c r="E18" s="965"/>
      <c r="F18" s="965"/>
      <c r="G18" s="965"/>
      <c r="H18" s="965"/>
      <c r="I18" s="965"/>
      <c r="J18" s="966"/>
      <c r="K18" s="983">
        <f t="shared" si="1"/>
        <v>370047.7086614173</v>
      </c>
      <c r="L18" s="970"/>
      <c r="M18" s="970">
        <v>15717</v>
      </c>
      <c r="N18" s="970">
        <v>354330.7086614173</v>
      </c>
      <c r="O18" s="970"/>
      <c r="P18" s="970"/>
      <c r="Q18" s="970"/>
      <c r="R18" s="970"/>
      <c r="S18" s="970"/>
      <c r="T18" s="970"/>
      <c r="U18" s="971"/>
      <c r="V18" s="970"/>
    </row>
    <row r="19" spans="2:22" s="967" customFormat="1" ht="15.75" x14ac:dyDescent="0.2">
      <c r="B19" s="964"/>
      <c r="C19" s="955" t="s">
        <v>858</v>
      </c>
      <c r="D19" s="943">
        <f t="shared" si="0"/>
        <v>583898.10236220469</v>
      </c>
      <c r="E19" s="965"/>
      <c r="F19" s="965"/>
      <c r="G19" s="965"/>
      <c r="H19" s="965"/>
      <c r="I19" s="965"/>
      <c r="J19" s="966"/>
      <c r="K19" s="983">
        <f t="shared" si="1"/>
        <v>583898.10236220469</v>
      </c>
      <c r="L19" s="970"/>
      <c r="M19" s="970">
        <v>32717</v>
      </c>
      <c r="N19" s="970">
        <v>551181.10236220469</v>
      </c>
      <c r="O19" s="970"/>
      <c r="P19" s="970"/>
      <c r="Q19" s="970"/>
      <c r="R19" s="970"/>
      <c r="S19" s="970"/>
      <c r="T19" s="970"/>
      <c r="U19" s="971"/>
      <c r="V19" s="970"/>
    </row>
    <row r="20" spans="2:22" s="967" customFormat="1" ht="15.75" x14ac:dyDescent="0.2">
      <c r="B20" s="964"/>
      <c r="C20" s="955" t="s">
        <v>859</v>
      </c>
      <c r="D20" s="943">
        <f t="shared" si="0"/>
        <v>141955.23622047243</v>
      </c>
      <c r="E20" s="965"/>
      <c r="F20" s="965"/>
      <c r="G20" s="965"/>
      <c r="H20" s="965"/>
      <c r="I20" s="965"/>
      <c r="J20" s="966"/>
      <c r="K20" s="983">
        <f t="shared" si="1"/>
        <v>141955.23622047243</v>
      </c>
      <c r="L20" s="970"/>
      <c r="M20" s="970">
        <v>23845</v>
      </c>
      <c r="N20" s="970">
        <v>118110.23622047243</v>
      </c>
      <c r="O20" s="970"/>
      <c r="P20" s="970"/>
      <c r="Q20" s="970"/>
      <c r="R20" s="970"/>
      <c r="S20" s="970"/>
      <c r="T20" s="970"/>
      <c r="U20" s="971"/>
      <c r="V20" s="970"/>
    </row>
    <row r="21" spans="2:22" ht="15.75" x14ac:dyDescent="0.2">
      <c r="B21" s="941"/>
      <c r="C21" s="955" t="s">
        <v>808</v>
      </c>
      <c r="D21" s="943">
        <f t="shared" si="0"/>
        <v>0</v>
      </c>
      <c r="E21" s="943"/>
      <c r="F21" s="943"/>
      <c r="G21" s="943"/>
      <c r="H21" s="943"/>
      <c r="I21" s="943"/>
      <c r="J21" s="952"/>
      <c r="K21" s="983">
        <f t="shared" si="1"/>
        <v>0</v>
      </c>
      <c r="L21" s="962"/>
      <c r="M21" s="962"/>
      <c r="N21" s="962"/>
      <c r="O21" s="962"/>
      <c r="P21" s="962"/>
      <c r="Q21" s="962"/>
      <c r="R21" s="962"/>
      <c r="S21" s="962"/>
      <c r="T21" s="962"/>
      <c r="U21" s="969"/>
      <c r="V21" s="962"/>
    </row>
    <row r="22" spans="2:22" ht="15.75" x14ac:dyDescent="0.2">
      <c r="B22" s="941"/>
      <c r="C22" s="955" t="s">
        <v>818</v>
      </c>
      <c r="D22" s="943">
        <f t="shared" si="0"/>
        <v>0</v>
      </c>
      <c r="E22" s="943"/>
      <c r="F22" s="943"/>
      <c r="G22" s="943"/>
      <c r="H22" s="943"/>
      <c r="I22" s="943"/>
      <c r="J22" s="952"/>
      <c r="K22" s="983">
        <f t="shared" si="1"/>
        <v>0</v>
      </c>
      <c r="L22" s="962"/>
      <c r="M22" s="962"/>
      <c r="N22" s="962"/>
      <c r="O22" s="962"/>
      <c r="P22" s="962"/>
      <c r="Q22" s="962"/>
      <c r="R22" s="962"/>
      <c r="S22" s="962"/>
      <c r="T22" s="962"/>
      <c r="U22" s="969"/>
      <c r="V22" s="962"/>
    </row>
    <row r="23" spans="2:22" ht="15.75" x14ac:dyDescent="0.2">
      <c r="B23" s="941"/>
      <c r="C23" s="955" t="s">
        <v>809</v>
      </c>
      <c r="D23" s="943">
        <f t="shared" si="0"/>
        <v>0</v>
      </c>
      <c r="E23" s="943"/>
      <c r="F23" s="943"/>
      <c r="G23" s="943"/>
      <c r="H23" s="943"/>
      <c r="I23" s="943"/>
      <c r="J23" s="952"/>
      <c r="K23" s="983">
        <f t="shared" si="1"/>
        <v>0</v>
      </c>
      <c r="L23" s="962"/>
      <c r="M23" s="962"/>
      <c r="N23" s="962"/>
      <c r="O23" s="962"/>
      <c r="P23" s="962"/>
      <c r="Q23" s="962"/>
      <c r="R23" s="962"/>
      <c r="S23" s="962"/>
      <c r="T23" s="962"/>
      <c r="U23" s="969"/>
      <c r="V23" s="962"/>
    </row>
    <row r="24" spans="2:22" ht="15.75" x14ac:dyDescent="0.2">
      <c r="B24" s="941"/>
      <c r="C24" s="955" t="s">
        <v>819</v>
      </c>
      <c r="D24" s="943">
        <f t="shared" si="0"/>
        <v>0</v>
      </c>
      <c r="E24" s="943"/>
      <c r="F24" s="943"/>
      <c r="G24" s="943"/>
      <c r="H24" s="943"/>
      <c r="I24" s="943"/>
      <c r="J24" s="952"/>
      <c r="K24" s="983">
        <f t="shared" si="1"/>
        <v>0</v>
      </c>
      <c r="L24" s="962"/>
      <c r="M24" s="962"/>
      <c r="N24" s="962"/>
      <c r="O24" s="962"/>
      <c r="P24" s="962"/>
      <c r="Q24" s="962"/>
      <c r="R24" s="962"/>
      <c r="S24" s="962"/>
      <c r="T24" s="962"/>
      <c r="U24" s="969"/>
      <c r="V24" s="962"/>
    </row>
    <row r="25" spans="2:22" ht="15.75" x14ac:dyDescent="0.2">
      <c r="B25" s="941"/>
      <c r="C25" s="955" t="s">
        <v>810</v>
      </c>
      <c r="D25" s="943">
        <f t="shared" si="0"/>
        <v>10000</v>
      </c>
      <c r="E25" s="943"/>
      <c r="F25" s="943"/>
      <c r="G25" s="943"/>
      <c r="H25" s="943"/>
      <c r="I25" s="943"/>
      <c r="J25" s="952"/>
      <c r="K25" s="983">
        <f t="shared" si="1"/>
        <v>10000</v>
      </c>
      <c r="L25" s="962"/>
      <c r="M25" s="962">
        <v>10000</v>
      </c>
      <c r="N25" s="962"/>
      <c r="O25" s="962"/>
      <c r="P25" s="962"/>
      <c r="Q25" s="962"/>
      <c r="R25" s="962"/>
      <c r="S25" s="962"/>
      <c r="T25" s="962"/>
      <c r="U25" s="969"/>
      <c r="V25" s="962"/>
    </row>
    <row r="26" spans="2:22" ht="15.75" x14ac:dyDescent="0.2">
      <c r="B26" s="941"/>
      <c r="C26" s="955" t="s">
        <v>811</v>
      </c>
      <c r="D26" s="943">
        <f t="shared" si="0"/>
        <v>6501</v>
      </c>
      <c r="E26" s="943"/>
      <c r="F26" s="943"/>
      <c r="G26" s="943"/>
      <c r="H26" s="943"/>
      <c r="I26" s="943"/>
      <c r="J26" s="952"/>
      <c r="K26" s="983">
        <f t="shared" si="1"/>
        <v>6501</v>
      </c>
      <c r="L26" s="962"/>
      <c r="M26" s="962">
        <v>6501</v>
      </c>
      <c r="N26" s="962"/>
      <c r="O26" s="962"/>
      <c r="P26" s="962"/>
      <c r="Q26" s="962"/>
      <c r="R26" s="962"/>
      <c r="S26" s="962"/>
      <c r="T26" s="962"/>
      <c r="U26" s="969"/>
      <c r="V26" s="962"/>
    </row>
    <row r="27" spans="2:22" ht="15.75" x14ac:dyDescent="0.2">
      <c r="B27" s="941"/>
      <c r="C27" s="955" t="s">
        <v>812</v>
      </c>
      <c r="D27" s="943">
        <f t="shared" si="0"/>
        <v>0</v>
      </c>
      <c r="E27" s="943"/>
      <c r="F27" s="943"/>
      <c r="G27" s="943"/>
      <c r="H27" s="943"/>
      <c r="I27" s="943"/>
      <c r="J27" s="952"/>
      <c r="K27" s="983">
        <f t="shared" si="1"/>
        <v>0</v>
      </c>
      <c r="L27" s="962"/>
      <c r="M27" s="962"/>
      <c r="N27" s="962"/>
      <c r="O27" s="962"/>
      <c r="P27" s="962"/>
      <c r="Q27" s="962"/>
      <c r="R27" s="962"/>
      <c r="S27" s="962"/>
      <c r="T27" s="962"/>
      <c r="U27" s="969"/>
      <c r="V27" s="962"/>
    </row>
    <row r="28" spans="2:22" ht="15.75" x14ac:dyDescent="0.2">
      <c r="B28" s="941"/>
      <c r="C28" s="955" t="s">
        <v>813</v>
      </c>
      <c r="D28" s="943">
        <f t="shared" si="0"/>
        <v>408680</v>
      </c>
      <c r="E28" s="943"/>
      <c r="F28" s="943"/>
      <c r="G28" s="943"/>
      <c r="H28" s="943"/>
      <c r="I28" s="943"/>
      <c r="J28" s="952"/>
      <c r="K28" s="983">
        <f t="shared" si="1"/>
        <v>408680</v>
      </c>
      <c r="L28" s="962"/>
      <c r="M28" s="962">
        <v>26002</v>
      </c>
      <c r="N28" s="962">
        <v>382678</v>
      </c>
      <c r="O28" s="962"/>
      <c r="P28" s="962"/>
      <c r="Q28" s="962"/>
      <c r="R28" s="962"/>
      <c r="S28" s="962"/>
      <c r="T28" s="962"/>
      <c r="U28" s="969"/>
      <c r="V28" s="962"/>
    </row>
    <row r="29" spans="2:22" ht="15.75" x14ac:dyDescent="0.2">
      <c r="B29" s="941"/>
      <c r="C29" s="955" t="s">
        <v>814</v>
      </c>
      <c r="D29" s="943">
        <f t="shared" si="0"/>
        <v>0</v>
      </c>
      <c r="E29" s="943"/>
      <c r="F29" s="943"/>
      <c r="G29" s="943"/>
      <c r="H29" s="943"/>
      <c r="I29" s="943"/>
      <c r="J29" s="952"/>
      <c r="K29" s="983">
        <f t="shared" si="1"/>
        <v>0</v>
      </c>
      <c r="L29" s="962"/>
      <c r="M29" s="962"/>
      <c r="N29" s="962"/>
      <c r="O29" s="962"/>
      <c r="P29" s="962"/>
      <c r="Q29" s="962"/>
      <c r="R29" s="962"/>
      <c r="S29" s="962"/>
      <c r="T29" s="962"/>
      <c r="U29" s="969"/>
      <c r="V29" s="962"/>
    </row>
    <row r="30" spans="2:22" ht="15.75" x14ac:dyDescent="0.2">
      <c r="B30" s="941"/>
      <c r="C30" s="955" t="s">
        <v>820</v>
      </c>
      <c r="D30" s="943">
        <f t="shared" si="0"/>
        <v>0</v>
      </c>
      <c r="E30" s="943"/>
      <c r="F30" s="943"/>
      <c r="G30" s="943"/>
      <c r="H30" s="943"/>
      <c r="I30" s="943"/>
      <c r="J30" s="952"/>
      <c r="K30" s="983">
        <f t="shared" si="1"/>
        <v>0</v>
      </c>
      <c r="L30" s="962"/>
      <c r="M30" s="962"/>
      <c r="N30" s="962"/>
      <c r="O30" s="962"/>
      <c r="P30" s="962"/>
      <c r="Q30" s="962"/>
      <c r="R30" s="962"/>
      <c r="S30" s="962"/>
      <c r="T30" s="962"/>
      <c r="U30" s="969"/>
      <c r="V30" s="962"/>
    </row>
    <row r="31" spans="2:22" ht="15.75" x14ac:dyDescent="0.2">
      <c r="B31" s="941"/>
      <c r="C31" s="955" t="s">
        <v>821</v>
      </c>
      <c r="D31" s="943">
        <f t="shared" si="0"/>
        <v>50000</v>
      </c>
      <c r="E31" s="943"/>
      <c r="F31" s="943"/>
      <c r="G31" s="943"/>
      <c r="H31" s="943"/>
      <c r="I31" s="943"/>
      <c r="J31" s="952"/>
      <c r="K31" s="983">
        <f t="shared" si="1"/>
        <v>50000</v>
      </c>
      <c r="L31" s="962"/>
      <c r="M31" s="962"/>
      <c r="N31" s="962">
        <v>50000</v>
      </c>
      <c r="O31" s="962"/>
      <c r="P31" s="962"/>
      <c r="Q31" s="962"/>
      <c r="R31" s="962"/>
      <c r="S31" s="962"/>
      <c r="T31" s="962"/>
      <c r="U31" s="969"/>
      <c r="V31" s="962"/>
    </row>
    <row r="32" spans="2:22" ht="15.75" x14ac:dyDescent="0.2">
      <c r="B32" s="941"/>
      <c r="C32" s="955" t="s">
        <v>815</v>
      </c>
      <c r="D32" s="943">
        <f t="shared" si="0"/>
        <v>0</v>
      </c>
      <c r="E32" s="943"/>
      <c r="F32" s="943"/>
      <c r="G32" s="943"/>
      <c r="H32" s="943"/>
      <c r="I32" s="943"/>
      <c r="J32" s="952"/>
      <c r="K32" s="983">
        <f t="shared" si="1"/>
        <v>0</v>
      </c>
      <c r="L32" s="962"/>
      <c r="M32" s="962"/>
      <c r="N32" s="962"/>
      <c r="O32" s="962"/>
      <c r="P32" s="962"/>
      <c r="Q32" s="962"/>
      <c r="R32" s="962"/>
      <c r="S32" s="962"/>
      <c r="T32" s="962"/>
      <c r="U32" s="969"/>
      <c r="V32" s="962"/>
    </row>
    <row r="33" spans="2:22" ht="15.75" x14ac:dyDescent="0.2">
      <c r="B33" s="941"/>
      <c r="C33" s="947" t="s">
        <v>816</v>
      </c>
      <c r="D33" s="948">
        <f t="shared" ref="D33:K33" si="2">SUM(D13:D32)</f>
        <v>1973159.0472440943</v>
      </c>
      <c r="E33" s="948">
        <f t="shared" si="2"/>
        <v>0</v>
      </c>
      <c r="F33" s="948">
        <f t="shared" si="2"/>
        <v>0</v>
      </c>
      <c r="G33" s="948">
        <f t="shared" si="2"/>
        <v>0</v>
      </c>
      <c r="H33" s="948">
        <f t="shared" si="2"/>
        <v>0</v>
      </c>
      <c r="I33" s="948">
        <f t="shared" si="2"/>
        <v>0</v>
      </c>
      <c r="J33" s="948">
        <f t="shared" si="2"/>
        <v>0</v>
      </c>
      <c r="K33" s="948">
        <f t="shared" si="2"/>
        <v>1973159.0472440943</v>
      </c>
      <c r="L33" s="962"/>
      <c r="M33" s="962"/>
      <c r="N33" s="962"/>
      <c r="O33" s="962"/>
      <c r="P33" s="962"/>
      <c r="Q33" s="962"/>
      <c r="R33" s="962"/>
      <c r="S33" s="962"/>
      <c r="T33" s="962"/>
      <c r="U33" s="969"/>
      <c r="V33" s="962"/>
    </row>
    <row r="34" spans="2:22" x14ac:dyDescent="0.2">
      <c r="L34" s="962"/>
      <c r="M34" s="962"/>
      <c r="N34" s="962"/>
      <c r="O34" s="962"/>
      <c r="P34" s="962"/>
      <c r="Q34" s="962"/>
      <c r="R34" s="962"/>
      <c r="S34" s="962"/>
      <c r="T34" s="962"/>
      <c r="U34" s="969"/>
      <c r="V34" s="962"/>
    </row>
    <row r="35" spans="2:22" x14ac:dyDescent="0.2">
      <c r="U35" s="953"/>
    </row>
    <row r="36" spans="2:22" x14ac:dyDescent="0.2">
      <c r="U36" s="954"/>
    </row>
    <row r="37" spans="2:22" x14ac:dyDescent="0.2">
      <c r="B37" s="1165"/>
      <c r="C37" s="1166" t="s">
        <v>262</v>
      </c>
      <c r="D37" s="1165" t="s">
        <v>722</v>
      </c>
      <c r="E37" s="1165"/>
      <c r="F37" s="1165"/>
      <c r="G37" s="1165"/>
      <c r="H37" s="1165"/>
      <c r="I37" s="1165"/>
      <c r="J37" s="1165"/>
      <c r="K37" s="1165"/>
    </row>
    <row r="38" spans="2:22" x14ac:dyDescent="0.2">
      <c r="B38" s="1165"/>
      <c r="C38" s="1167"/>
      <c r="D38" s="1165" t="s">
        <v>824</v>
      </c>
      <c r="E38" s="1165"/>
      <c r="F38" s="1165"/>
      <c r="G38" s="1165"/>
      <c r="H38" s="1165"/>
      <c r="I38" s="1165"/>
      <c r="J38" s="1165"/>
      <c r="K38" s="1165"/>
    </row>
    <row r="39" spans="2:22" ht="60" customHeight="1" x14ac:dyDescent="0.25">
      <c r="B39" s="1165"/>
      <c r="C39" s="1168"/>
      <c r="D39" s="950" t="s">
        <v>781</v>
      </c>
      <c r="E39" s="951"/>
      <c r="F39" s="951"/>
      <c r="G39" s="951"/>
      <c r="H39" s="951"/>
      <c r="I39" s="951"/>
      <c r="J39" s="951"/>
      <c r="K39" s="951"/>
    </row>
    <row r="40" spans="2:22" ht="15.75" x14ac:dyDescent="0.2">
      <c r="B40" s="941"/>
      <c r="C40" s="955" t="s">
        <v>825</v>
      </c>
      <c r="D40" s="943">
        <f>SUM(E40:K40)</f>
        <v>0</v>
      </c>
      <c r="E40" s="943"/>
      <c r="F40" s="943"/>
      <c r="G40" s="943"/>
      <c r="H40" s="943"/>
      <c r="I40" s="943"/>
      <c r="J40" s="952"/>
      <c r="K40" s="952"/>
    </row>
    <row r="41" spans="2:22" ht="15.75" x14ac:dyDescent="0.2">
      <c r="B41" s="941"/>
      <c r="C41" s="955" t="s">
        <v>826</v>
      </c>
      <c r="D41" s="943">
        <f t="shared" ref="D41:D51" si="3">SUM(E41:K41)</f>
        <v>0</v>
      </c>
      <c r="E41" s="943"/>
      <c r="F41" s="943"/>
      <c r="G41" s="943"/>
      <c r="H41" s="943"/>
      <c r="I41" s="943"/>
      <c r="J41" s="952"/>
      <c r="K41" s="952">
        <f t="shared" ref="K41:K45" si="4">N41</f>
        <v>0</v>
      </c>
    </row>
    <row r="42" spans="2:22" ht="15.75" x14ac:dyDescent="0.2">
      <c r="B42" s="941"/>
      <c r="C42" s="955" t="s">
        <v>828</v>
      </c>
      <c r="D42" s="943">
        <f t="shared" si="3"/>
        <v>0</v>
      </c>
      <c r="E42" s="943"/>
      <c r="F42" s="943"/>
      <c r="G42" s="943"/>
      <c r="H42" s="943"/>
      <c r="I42" s="943"/>
      <c r="J42" s="952"/>
      <c r="K42" s="952">
        <f t="shared" si="4"/>
        <v>0</v>
      </c>
    </row>
    <row r="43" spans="2:22" ht="15.75" x14ac:dyDescent="0.2">
      <c r="B43" s="941"/>
      <c r="C43" s="955" t="s">
        <v>827</v>
      </c>
      <c r="D43" s="943">
        <f t="shared" si="3"/>
        <v>433071</v>
      </c>
      <c r="E43" s="943"/>
      <c r="F43" s="943"/>
      <c r="G43" s="943"/>
      <c r="H43" s="943"/>
      <c r="I43" s="943"/>
      <c r="J43" s="952"/>
      <c r="K43" s="952">
        <f t="shared" si="4"/>
        <v>433071</v>
      </c>
      <c r="N43">
        <v>433071</v>
      </c>
    </row>
    <row r="44" spans="2:22" ht="15.75" x14ac:dyDescent="0.2">
      <c r="B44" s="941"/>
      <c r="C44" s="955" t="s">
        <v>829</v>
      </c>
      <c r="D44" s="943">
        <f t="shared" si="3"/>
        <v>0</v>
      </c>
      <c r="E44" s="943"/>
      <c r="F44" s="943"/>
      <c r="G44" s="943"/>
      <c r="H44" s="943"/>
      <c r="I44" s="943"/>
      <c r="J44" s="952"/>
      <c r="K44" s="952">
        <f t="shared" si="4"/>
        <v>0</v>
      </c>
    </row>
    <row r="45" spans="2:22" ht="15.75" x14ac:dyDescent="0.2">
      <c r="B45" s="941"/>
      <c r="C45" s="955" t="s">
        <v>830</v>
      </c>
      <c r="D45" s="943">
        <f t="shared" si="3"/>
        <v>0</v>
      </c>
      <c r="E45" s="943"/>
      <c r="F45" s="943"/>
      <c r="G45" s="943"/>
      <c r="H45" s="943"/>
      <c r="I45" s="943"/>
      <c r="J45" s="952"/>
      <c r="K45" s="952">
        <f t="shared" si="4"/>
        <v>0</v>
      </c>
    </row>
    <row r="46" spans="2:22" ht="15.75" x14ac:dyDescent="0.2">
      <c r="B46" s="941"/>
      <c r="C46" s="955" t="s">
        <v>831</v>
      </c>
      <c r="D46" s="943">
        <f t="shared" si="3"/>
        <v>116929</v>
      </c>
      <c r="E46" s="943"/>
      <c r="F46" s="943"/>
      <c r="G46" s="943"/>
      <c r="H46" s="943"/>
      <c r="I46" s="943"/>
      <c r="J46" s="952"/>
      <c r="K46" s="952">
        <f>N46</f>
        <v>116929</v>
      </c>
      <c r="N46">
        <v>116929</v>
      </c>
    </row>
    <row r="47" spans="2:22" s="958" customFormat="1" ht="15.75" x14ac:dyDescent="0.2">
      <c r="B47" s="956"/>
      <c r="C47" s="957" t="s">
        <v>823</v>
      </c>
      <c r="D47" s="948">
        <f>SUM(D40:D46)</f>
        <v>550000</v>
      </c>
      <c r="E47" s="948">
        <f t="shared" ref="E47:K47" si="5">SUM(E40:E46)</f>
        <v>0</v>
      </c>
      <c r="F47" s="948">
        <f t="shared" si="5"/>
        <v>0</v>
      </c>
      <c r="G47" s="948">
        <f t="shared" si="5"/>
        <v>0</v>
      </c>
      <c r="H47" s="948">
        <f t="shared" si="5"/>
        <v>0</v>
      </c>
      <c r="I47" s="948">
        <f t="shared" si="5"/>
        <v>0</v>
      </c>
      <c r="J47" s="948">
        <f t="shared" si="5"/>
        <v>0</v>
      </c>
      <c r="K47" s="948">
        <f t="shared" si="5"/>
        <v>550000</v>
      </c>
    </row>
    <row r="48" spans="2:22" ht="15.75" x14ac:dyDescent="0.2">
      <c r="B48" s="941"/>
      <c r="C48" s="955" t="s">
        <v>832</v>
      </c>
      <c r="D48" s="943">
        <f t="shared" si="3"/>
        <v>118110</v>
      </c>
      <c r="E48" s="943"/>
      <c r="F48" s="943"/>
      <c r="G48" s="943"/>
      <c r="H48" s="943"/>
      <c r="I48" s="943"/>
      <c r="J48" s="952"/>
      <c r="K48" s="952">
        <f>N48</f>
        <v>118110</v>
      </c>
      <c r="N48">
        <v>118110</v>
      </c>
    </row>
    <row r="49" spans="2:14" ht="15.75" x14ac:dyDescent="0.2">
      <c r="B49" s="941"/>
      <c r="C49" s="955" t="s">
        <v>833</v>
      </c>
      <c r="D49" s="943">
        <f t="shared" si="3"/>
        <v>0</v>
      </c>
      <c r="E49" s="943"/>
      <c r="F49" s="943"/>
      <c r="G49" s="943"/>
      <c r="H49" s="943"/>
      <c r="I49" s="943"/>
      <c r="J49" s="952"/>
      <c r="K49" s="952">
        <f t="shared" ref="K49:K51" si="6">N49</f>
        <v>0</v>
      </c>
    </row>
    <row r="50" spans="2:14" ht="15.75" x14ac:dyDescent="0.2">
      <c r="B50" s="941"/>
      <c r="C50" s="955" t="s">
        <v>834</v>
      </c>
      <c r="D50" s="943">
        <f t="shared" si="3"/>
        <v>0</v>
      </c>
      <c r="E50" s="943"/>
      <c r="F50" s="943"/>
      <c r="G50" s="943"/>
      <c r="H50" s="943"/>
      <c r="I50" s="943"/>
      <c r="J50" s="952"/>
      <c r="K50" s="952">
        <f t="shared" si="6"/>
        <v>0</v>
      </c>
    </row>
    <row r="51" spans="2:14" ht="15.75" x14ac:dyDescent="0.2">
      <c r="B51" s="941"/>
      <c r="C51" s="955" t="s">
        <v>835</v>
      </c>
      <c r="D51" s="943">
        <f t="shared" si="3"/>
        <v>31890</v>
      </c>
      <c r="E51" s="943"/>
      <c r="F51" s="943"/>
      <c r="G51" s="943"/>
      <c r="H51" s="943"/>
      <c r="I51" s="943"/>
      <c r="J51" s="952"/>
      <c r="K51" s="952">
        <f t="shared" si="6"/>
        <v>31890</v>
      </c>
      <c r="N51">
        <v>31890</v>
      </c>
    </row>
    <row r="52" spans="2:14" s="958" customFormat="1" ht="15.75" x14ac:dyDescent="0.2">
      <c r="B52" s="956"/>
      <c r="C52" s="957" t="s">
        <v>822</v>
      </c>
      <c r="D52" s="948">
        <f>SUM(D48:D51)</f>
        <v>150000</v>
      </c>
      <c r="E52" s="948">
        <f t="shared" ref="E52:K52" si="7">SUM(E48:E51)</f>
        <v>0</v>
      </c>
      <c r="F52" s="948">
        <f t="shared" si="7"/>
        <v>0</v>
      </c>
      <c r="G52" s="948">
        <f t="shared" si="7"/>
        <v>0</v>
      </c>
      <c r="H52" s="948">
        <f t="shared" si="7"/>
        <v>0</v>
      </c>
      <c r="I52" s="948">
        <f t="shared" si="7"/>
        <v>0</v>
      </c>
      <c r="J52" s="948">
        <f t="shared" si="7"/>
        <v>0</v>
      </c>
      <c r="K52" s="948">
        <f t="shared" si="7"/>
        <v>150000</v>
      </c>
    </row>
    <row r="53" spans="2:14" x14ac:dyDescent="0.2">
      <c r="D53" s="958"/>
    </row>
  </sheetData>
  <mergeCells count="8">
    <mergeCell ref="B10:B12"/>
    <mergeCell ref="C10:C12"/>
    <mergeCell ref="D10:K10"/>
    <mergeCell ref="D11:K11"/>
    <mergeCell ref="B37:B39"/>
    <mergeCell ref="C37:C39"/>
    <mergeCell ref="D37:K37"/>
    <mergeCell ref="D38:K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686B-FB39-4F0A-BAAE-D8BF85B728BE}">
  <dimension ref="A1:I26"/>
  <sheetViews>
    <sheetView workbookViewId="0">
      <selection activeCell="D17" sqref="D17"/>
    </sheetView>
  </sheetViews>
  <sheetFormatPr defaultColWidth="9.33203125" defaultRowHeight="12.75" x14ac:dyDescent="0.2"/>
  <cols>
    <col min="1" max="1" width="7" style="96" customWidth="1"/>
    <col min="2" max="2" width="58" style="97" customWidth="1"/>
    <col min="3" max="3" width="18.33203125" style="96" customWidth="1"/>
    <col min="4" max="4" width="56" style="96" customWidth="1"/>
    <col min="5" max="5" width="18" style="96" customWidth="1"/>
    <col min="6" max="6" width="7.6640625" style="96" customWidth="1"/>
    <col min="7" max="7" width="13.83203125" style="96" customWidth="1"/>
    <col min="8" max="16384" width="9.33203125" style="96"/>
  </cols>
  <sheetData>
    <row r="1" spans="1:9" ht="18.75" x14ac:dyDescent="0.2">
      <c r="A1" s="1108" t="s">
        <v>892</v>
      </c>
      <c r="B1" s="1108"/>
      <c r="C1" s="1108"/>
      <c r="D1" s="1108"/>
      <c r="E1" s="1108"/>
      <c r="F1" s="95"/>
    </row>
    <row r="2" spans="1:9" x14ac:dyDescent="0.2">
      <c r="E2" s="98" t="s">
        <v>1</v>
      </c>
      <c r="F2" s="95"/>
    </row>
    <row r="3" spans="1:9" ht="15.75" x14ac:dyDescent="0.2">
      <c r="A3" s="1109" t="s">
        <v>2</v>
      </c>
      <c r="B3" s="1110" t="s">
        <v>260</v>
      </c>
      <c r="C3" s="1110"/>
      <c r="D3" s="1110" t="s">
        <v>261</v>
      </c>
      <c r="E3" s="1110"/>
      <c r="F3" s="95"/>
    </row>
    <row r="4" spans="1:9" s="99" customFormat="1" ht="38.25" x14ac:dyDescent="0.2">
      <c r="A4" s="1109"/>
      <c r="B4" s="1092" t="s">
        <v>262</v>
      </c>
      <c r="C4" s="1092" t="s">
        <v>938</v>
      </c>
      <c r="D4" s="1092" t="s">
        <v>262</v>
      </c>
      <c r="E4" s="1092" t="str">
        <f>+C4</f>
        <v>2018. évi módosított előirányzat</v>
      </c>
      <c r="F4" s="95"/>
    </row>
    <row r="5" spans="1:9" s="100" customFormat="1" ht="12" customHeight="1" x14ac:dyDescent="0.2">
      <c r="A5" s="1092" t="s">
        <v>5</v>
      </c>
      <c r="B5" s="1092" t="s">
        <v>6</v>
      </c>
      <c r="C5" s="1092" t="s">
        <v>7</v>
      </c>
      <c r="D5" s="1092" t="s">
        <v>8</v>
      </c>
      <c r="E5" s="1092" t="s">
        <v>263</v>
      </c>
      <c r="F5" s="95"/>
    </row>
    <row r="6" spans="1:9" x14ac:dyDescent="0.2">
      <c r="A6" s="1025" t="s">
        <v>9</v>
      </c>
      <c r="B6" s="1017" t="s">
        <v>419</v>
      </c>
      <c r="C6" s="1026">
        <f>'[21]1.sz.mell.'!E12</f>
        <v>189046507.33333331</v>
      </c>
      <c r="D6" s="1017" t="str">
        <f>'[21]1.sz.mell.'!B82</f>
        <v>Személyi  juttatások</v>
      </c>
      <c r="E6" s="1026">
        <f>'[21]1.sz.mell.'!E82</f>
        <v>246574938</v>
      </c>
      <c r="F6" s="95"/>
    </row>
    <row r="7" spans="1:9" ht="25.5" x14ac:dyDescent="0.2">
      <c r="A7" s="1025" t="s">
        <v>12</v>
      </c>
      <c r="B7" s="1017" t="s">
        <v>506</v>
      </c>
      <c r="C7" s="1026">
        <f>'[21]1.sz.mell.'!E13+'[21]1.sz.mell.'!E14</f>
        <v>158893725</v>
      </c>
      <c r="D7" s="1017" t="str">
        <f>'[21]1.sz.mell.'!B83</f>
        <v>Munkaadókat terhelő járulékok és szociális hozzájárulási adó</v>
      </c>
      <c r="E7" s="1026">
        <f>'[21]1.sz.mell.'!E83</f>
        <v>36548473.086842373</v>
      </c>
      <c r="F7" s="95"/>
    </row>
    <row r="8" spans="1:9" x14ac:dyDescent="0.2">
      <c r="A8" s="1025" t="s">
        <v>15</v>
      </c>
      <c r="B8" s="1017" t="s">
        <v>103</v>
      </c>
      <c r="C8" s="1026">
        <f>'[21]1.sz.mell.'!E45</f>
        <v>31260000</v>
      </c>
      <c r="D8" s="1017" t="str">
        <f>'[21]1.sz.mell.'!B84</f>
        <v>Dologi  kiadások</v>
      </c>
      <c r="E8" s="1026">
        <f>'[21]1.sz.mell.'!E84</f>
        <v>101802890.53937007</v>
      </c>
      <c r="F8" s="95"/>
    </row>
    <row r="9" spans="1:9" x14ac:dyDescent="0.2">
      <c r="A9" s="1025" t="s">
        <v>18</v>
      </c>
      <c r="B9" s="1017" t="s">
        <v>404</v>
      </c>
      <c r="C9" s="1026">
        <f>'[21]1.sz.mell.'!E57</f>
        <v>46682847</v>
      </c>
      <c r="D9" s="1017" t="str">
        <f>'[21]1.sz.mell.'!B85</f>
        <v>Ellátottak pénzbeli juttatásai</v>
      </c>
      <c r="E9" s="1026">
        <f>'[21]1.sz.mell.'!E85</f>
        <v>3100000</v>
      </c>
      <c r="F9" s="95"/>
    </row>
    <row r="10" spans="1:9" x14ac:dyDescent="0.2">
      <c r="A10" s="1025" t="s">
        <v>21</v>
      </c>
      <c r="B10" s="1017" t="s">
        <v>375</v>
      </c>
      <c r="C10" s="1026">
        <f>'[21]1.sz.mell.'!E66</f>
        <v>728940</v>
      </c>
      <c r="D10" s="1017" t="str">
        <f>'[21]1.sz.mell.'!B86</f>
        <v>Egyéb működési célú kiadások</v>
      </c>
      <c r="E10" s="1026">
        <f>'[21]1.sz.mell.'!E86</f>
        <v>20006550</v>
      </c>
      <c r="F10" s="95"/>
    </row>
    <row r="11" spans="1:9" x14ac:dyDescent="0.2">
      <c r="A11" s="1025" t="s">
        <v>24</v>
      </c>
      <c r="B11" s="1017"/>
      <c r="C11" s="1026"/>
      <c r="D11" s="1019" t="s">
        <v>264</v>
      </c>
      <c r="E11" s="1027"/>
      <c r="F11" s="95"/>
    </row>
    <row r="12" spans="1:9" x14ac:dyDescent="0.2">
      <c r="A12" s="1025" t="s">
        <v>27</v>
      </c>
      <c r="B12" s="1025"/>
      <c r="C12" s="1026"/>
      <c r="D12" s="1020" t="s">
        <v>265</v>
      </c>
      <c r="E12" s="1027"/>
      <c r="F12" s="95"/>
    </row>
    <row r="13" spans="1:9" x14ac:dyDescent="0.2">
      <c r="A13" s="103" t="s">
        <v>30</v>
      </c>
      <c r="B13" s="616" t="s">
        <v>890</v>
      </c>
      <c r="C13" s="102">
        <f>SUM(C6:C12)</f>
        <v>426612019.33333331</v>
      </c>
      <c r="D13" s="616" t="s">
        <v>891</v>
      </c>
      <c r="E13" s="102">
        <f>SUM(E6:E10)</f>
        <v>408032851.62621242</v>
      </c>
      <c r="F13" s="95"/>
      <c r="I13" s="1070"/>
    </row>
    <row r="14" spans="1:9" x14ac:dyDescent="0.2">
      <c r="A14" s="1025" t="s">
        <v>33</v>
      </c>
      <c r="B14" s="1017" t="s">
        <v>507</v>
      </c>
      <c r="C14" s="1016">
        <f>'[21]1.sz.mell.'!E31</f>
        <v>122998649</v>
      </c>
      <c r="D14" s="1017" t="s">
        <v>226</v>
      </c>
      <c r="E14" s="1016">
        <f>'[21]1.sz.mell.'!E97</f>
        <v>114610550</v>
      </c>
    </row>
    <row r="15" spans="1:9" x14ac:dyDescent="0.2">
      <c r="A15" s="1025" t="s">
        <v>36</v>
      </c>
      <c r="B15" s="1017" t="s">
        <v>599</v>
      </c>
      <c r="C15" s="1016">
        <f>'[21]1.sz.mell.'!E63</f>
        <v>800000</v>
      </c>
      <c r="D15" s="1017" t="s">
        <v>228</v>
      </c>
      <c r="E15" s="1016">
        <f>'[21]1.sz.mell.'!E98</f>
        <v>43277714</v>
      </c>
    </row>
    <row r="16" spans="1:9" x14ac:dyDescent="0.2">
      <c r="A16" s="1025" t="s">
        <v>38</v>
      </c>
      <c r="B16" s="1017" t="s">
        <v>600</v>
      </c>
      <c r="C16" s="1016"/>
      <c r="D16" s="1017" t="s">
        <v>230</v>
      </c>
      <c r="E16" s="1016">
        <f>'[21]1.sz.mell.'!E99</f>
        <v>565000</v>
      </c>
    </row>
    <row r="17" spans="1:5" x14ac:dyDescent="0.2">
      <c r="A17" s="1025" t="s">
        <v>40</v>
      </c>
      <c r="B17" s="1018"/>
      <c r="C17" s="1016"/>
      <c r="D17" s="1019" t="s">
        <v>266</v>
      </c>
      <c r="E17" s="1016"/>
    </row>
    <row r="18" spans="1:5" x14ac:dyDescent="0.2">
      <c r="A18" s="1025" t="s">
        <v>42</v>
      </c>
      <c r="B18" s="1017"/>
      <c r="C18" s="1016"/>
      <c r="D18" s="1020" t="s">
        <v>267</v>
      </c>
      <c r="E18" s="1016"/>
    </row>
    <row r="19" spans="1:5" x14ac:dyDescent="0.2">
      <c r="A19" s="103" t="s">
        <v>46</v>
      </c>
      <c r="B19" s="616" t="s">
        <v>889</v>
      </c>
      <c r="C19" s="102">
        <f>SUM(C14:C18)</f>
        <v>123798649</v>
      </c>
      <c r="D19" s="616" t="s">
        <v>888</v>
      </c>
      <c r="E19" s="102">
        <f>SUM(E14:E18)</f>
        <v>158453264</v>
      </c>
    </row>
    <row r="20" spans="1:5" x14ac:dyDescent="0.2">
      <c r="A20" s="103" t="s">
        <v>48</v>
      </c>
      <c r="B20" s="616" t="s">
        <v>885</v>
      </c>
      <c r="C20" s="102">
        <f>C13+C19</f>
        <v>550410668.33333325</v>
      </c>
      <c r="D20" s="616" t="s">
        <v>884</v>
      </c>
      <c r="E20" s="102">
        <f>E13+E19</f>
        <v>566486115.62621236</v>
      </c>
    </row>
    <row r="21" spans="1:5" x14ac:dyDescent="0.2">
      <c r="A21" s="1025" t="s">
        <v>50</v>
      </c>
      <c r="B21" s="1021" t="s">
        <v>181</v>
      </c>
      <c r="C21" s="1016"/>
      <c r="D21" s="1021" t="s">
        <v>246</v>
      </c>
      <c r="E21" s="1016"/>
    </row>
    <row r="22" spans="1:5" x14ac:dyDescent="0.2">
      <c r="A22" s="1025" t="s">
        <v>53</v>
      </c>
      <c r="B22" s="1022" t="s">
        <v>184</v>
      </c>
      <c r="C22" s="1016"/>
      <c r="D22" s="1023" t="s">
        <v>248</v>
      </c>
      <c r="E22" s="1016"/>
    </row>
    <row r="23" spans="1:5" x14ac:dyDescent="0.2">
      <c r="A23" s="1025" t="s">
        <v>56</v>
      </c>
      <c r="B23" s="1024" t="s">
        <v>187</v>
      </c>
      <c r="C23" s="1016">
        <f>'[21]1.sz.mell.'!E73</f>
        <v>22826285</v>
      </c>
      <c r="D23" s="1021" t="s">
        <v>250</v>
      </c>
      <c r="E23" s="1016">
        <f>'[21]1.sz.mell.'!E110</f>
        <v>6750837</v>
      </c>
    </row>
    <row r="24" spans="1:5" x14ac:dyDescent="0.2">
      <c r="A24" s="1025" t="s">
        <v>59</v>
      </c>
      <c r="B24" s="1024" t="s">
        <v>190</v>
      </c>
      <c r="C24" s="1016"/>
      <c r="D24" s="1023" t="s">
        <v>252</v>
      </c>
      <c r="E24" s="1016"/>
    </row>
    <row r="25" spans="1:5" x14ac:dyDescent="0.2">
      <c r="A25" s="103" t="s">
        <v>61</v>
      </c>
      <c r="B25" s="616" t="s">
        <v>485</v>
      </c>
      <c r="C25" s="102">
        <f>C23</f>
        <v>22826285</v>
      </c>
      <c r="D25" s="616" t="s">
        <v>883</v>
      </c>
      <c r="E25" s="102">
        <f>E23</f>
        <v>6750837</v>
      </c>
    </row>
    <row r="26" spans="1:5" x14ac:dyDescent="0.2">
      <c r="A26" s="103" t="s">
        <v>63</v>
      </c>
      <c r="B26" s="616" t="s">
        <v>886</v>
      </c>
      <c r="C26" s="102">
        <f>C25+C20</f>
        <v>573236953.33333325</v>
      </c>
      <c r="D26" s="616" t="s">
        <v>887</v>
      </c>
      <c r="E26" s="102">
        <f>E25+E20</f>
        <v>573236952.62621236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D2A1-98A8-480C-A624-0EBB11526451}">
  <dimension ref="A1:G65"/>
  <sheetViews>
    <sheetView tabSelected="1" workbookViewId="0">
      <selection activeCell="B8" sqref="B8"/>
    </sheetView>
  </sheetViews>
  <sheetFormatPr defaultRowHeight="12.75" x14ac:dyDescent="0.2"/>
  <cols>
    <col min="1" max="1" width="6.83203125" style="320" customWidth="1"/>
    <col min="2" max="2" width="66.83203125" style="321" customWidth="1"/>
    <col min="3" max="3" width="8.1640625" style="321" customWidth="1"/>
    <col min="4" max="6" width="16.33203125" style="248" customWidth="1"/>
    <col min="7" max="252" width="9.33203125" style="248"/>
    <col min="253" max="253" width="6.83203125" style="248" customWidth="1"/>
    <col min="254" max="254" width="60.1640625" style="248" customWidth="1"/>
    <col min="255" max="255" width="8.1640625" style="248" customWidth="1"/>
    <col min="256" max="258" width="14.5" style="248" customWidth="1"/>
    <col min="259" max="508" width="9.33203125" style="248"/>
    <col min="509" max="509" width="6.83203125" style="248" customWidth="1"/>
    <col min="510" max="510" width="60.1640625" style="248" customWidth="1"/>
    <col min="511" max="511" width="8.1640625" style="248" customWidth="1"/>
    <col min="512" max="514" width="14.5" style="248" customWidth="1"/>
    <col min="515" max="764" width="9.33203125" style="248"/>
    <col min="765" max="765" width="6.83203125" style="248" customWidth="1"/>
    <col min="766" max="766" width="60.1640625" style="248" customWidth="1"/>
    <col min="767" max="767" width="8.1640625" style="248" customWidth="1"/>
    <col min="768" max="770" width="14.5" style="248" customWidth="1"/>
    <col min="771" max="1020" width="9.33203125" style="248"/>
    <col min="1021" max="1021" width="6.83203125" style="248" customWidth="1"/>
    <col min="1022" max="1022" width="60.1640625" style="248" customWidth="1"/>
    <col min="1023" max="1023" width="8.1640625" style="248" customWidth="1"/>
    <col min="1024" max="1026" width="14.5" style="248" customWidth="1"/>
    <col min="1027" max="1276" width="9.33203125" style="248"/>
    <col min="1277" max="1277" width="6.83203125" style="248" customWidth="1"/>
    <col min="1278" max="1278" width="60.1640625" style="248" customWidth="1"/>
    <col min="1279" max="1279" width="8.1640625" style="248" customWidth="1"/>
    <col min="1280" max="1282" width="14.5" style="248" customWidth="1"/>
    <col min="1283" max="1532" width="9.33203125" style="248"/>
    <col min="1533" max="1533" width="6.83203125" style="248" customWidth="1"/>
    <col min="1534" max="1534" width="60.1640625" style="248" customWidth="1"/>
    <col min="1535" max="1535" width="8.1640625" style="248" customWidth="1"/>
    <col min="1536" max="1538" width="14.5" style="248" customWidth="1"/>
    <col min="1539" max="1788" width="9.33203125" style="248"/>
    <col min="1789" max="1789" width="6.83203125" style="248" customWidth="1"/>
    <col min="1790" max="1790" width="60.1640625" style="248" customWidth="1"/>
    <col min="1791" max="1791" width="8.1640625" style="248" customWidth="1"/>
    <col min="1792" max="1794" width="14.5" style="248" customWidth="1"/>
    <col min="1795" max="2044" width="9.33203125" style="248"/>
    <col min="2045" max="2045" width="6.83203125" style="248" customWidth="1"/>
    <col min="2046" max="2046" width="60.1640625" style="248" customWidth="1"/>
    <col min="2047" max="2047" width="8.1640625" style="248" customWidth="1"/>
    <col min="2048" max="2050" width="14.5" style="248" customWidth="1"/>
    <col min="2051" max="2300" width="9.33203125" style="248"/>
    <col min="2301" max="2301" width="6.83203125" style="248" customWidth="1"/>
    <col min="2302" max="2302" width="60.1640625" style="248" customWidth="1"/>
    <col min="2303" max="2303" width="8.1640625" style="248" customWidth="1"/>
    <col min="2304" max="2306" width="14.5" style="248" customWidth="1"/>
    <col min="2307" max="2556" width="9.33203125" style="248"/>
    <col min="2557" max="2557" width="6.83203125" style="248" customWidth="1"/>
    <col min="2558" max="2558" width="60.1640625" style="248" customWidth="1"/>
    <col min="2559" max="2559" width="8.1640625" style="248" customWidth="1"/>
    <col min="2560" max="2562" width="14.5" style="248" customWidth="1"/>
    <col min="2563" max="2812" width="9.33203125" style="248"/>
    <col min="2813" max="2813" width="6.83203125" style="248" customWidth="1"/>
    <col min="2814" max="2814" width="60.1640625" style="248" customWidth="1"/>
    <col min="2815" max="2815" width="8.1640625" style="248" customWidth="1"/>
    <col min="2816" max="2818" width="14.5" style="248" customWidth="1"/>
    <col min="2819" max="3068" width="9.33203125" style="248"/>
    <col min="3069" max="3069" width="6.83203125" style="248" customWidth="1"/>
    <col min="3070" max="3070" width="60.1640625" style="248" customWidth="1"/>
    <col min="3071" max="3071" width="8.1640625" style="248" customWidth="1"/>
    <col min="3072" max="3074" width="14.5" style="248" customWidth="1"/>
    <col min="3075" max="3324" width="9.33203125" style="248"/>
    <col min="3325" max="3325" width="6.83203125" style="248" customWidth="1"/>
    <col min="3326" max="3326" width="60.1640625" style="248" customWidth="1"/>
    <col min="3327" max="3327" width="8.1640625" style="248" customWidth="1"/>
    <col min="3328" max="3330" width="14.5" style="248" customWidth="1"/>
    <col min="3331" max="3580" width="9.33203125" style="248"/>
    <col min="3581" max="3581" width="6.83203125" style="248" customWidth="1"/>
    <col min="3582" max="3582" width="60.1640625" style="248" customWidth="1"/>
    <col min="3583" max="3583" width="8.1640625" style="248" customWidth="1"/>
    <col min="3584" max="3586" width="14.5" style="248" customWidth="1"/>
    <col min="3587" max="3836" width="9.33203125" style="248"/>
    <col min="3837" max="3837" width="6.83203125" style="248" customWidth="1"/>
    <col min="3838" max="3838" width="60.1640625" style="248" customWidth="1"/>
    <col min="3839" max="3839" width="8.1640625" style="248" customWidth="1"/>
    <col min="3840" max="3842" width="14.5" style="248" customWidth="1"/>
    <col min="3843" max="4092" width="9.33203125" style="248"/>
    <col min="4093" max="4093" width="6.83203125" style="248" customWidth="1"/>
    <col min="4094" max="4094" width="60.1640625" style="248" customWidth="1"/>
    <col min="4095" max="4095" width="8.1640625" style="248" customWidth="1"/>
    <col min="4096" max="4098" width="14.5" style="248" customWidth="1"/>
    <col min="4099" max="4348" width="9.33203125" style="248"/>
    <col min="4349" max="4349" width="6.83203125" style="248" customWidth="1"/>
    <col min="4350" max="4350" width="60.1640625" style="248" customWidth="1"/>
    <col min="4351" max="4351" width="8.1640625" style="248" customWidth="1"/>
    <col min="4352" max="4354" width="14.5" style="248" customWidth="1"/>
    <col min="4355" max="4604" width="9.33203125" style="248"/>
    <col min="4605" max="4605" width="6.83203125" style="248" customWidth="1"/>
    <col min="4606" max="4606" width="60.1640625" style="248" customWidth="1"/>
    <col min="4607" max="4607" width="8.1640625" style="248" customWidth="1"/>
    <col min="4608" max="4610" width="14.5" style="248" customWidth="1"/>
    <col min="4611" max="4860" width="9.33203125" style="248"/>
    <col min="4861" max="4861" width="6.83203125" style="248" customWidth="1"/>
    <col min="4862" max="4862" width="60.1640625" style="248" customWidth="1"/>
    <col min="4863" max="4863" width="8.1640625" style="248" customWidth="1"/>
    <col min="4864" max="4866" width="14.5" style="248" customWidth="1"/>
    <col min="4867" max="5116" width="9.33203125" style="248"/>
    <col min="5117" max="5117" width="6.83203125" style="248" customWidth="1"/>
    <col min="5118" max="5118" width="60.1640625" style="248" customWidth="1"/>
    <col min="5119" max="5119" width="8.1640625" style="248" customWidth="1"/>
    <col min="5120" max="5122" width="14.5" style="248" customWidth="1"/>
    <col min="5123" max="5372" width="9.33203125" style="248"/>
    <col min="5373" max="5373" width="6.83203125" style="248" customWidth="1"/>
    <col min="5374" max="5374" width="60.1640625" style="248" customWidth="1"/>
    <col min="5375" max="5375" width="8.1640625" style="248" customWidth="1"/>
    <col min="5376" max="5378" width="14.5" style="248" customWidth="1"/>
    <col min="5379" max="5628" width="9.33203125" style="248"/>
    <col min="5629" max="5629" width="6.83203125" style="248" customWidth="1"/>
    <col min="5630" max="5630" width="60.1640625" style="248" customWidth="1"/>
    <col min="5631" max="5631" width="8.1640625" style="248" customWidth="1"/>
    <col min="5632" max="5634" width="14.5" style="248" customWidth="1"/>
    <col min="5635" max="5884" width="9.33203125" style="248"/>
    <col min="5885" max="5885" width="6.83203125" style="248" customWidth="1"/>
    <col min="5886" max="5886" width="60.1640625" style="248" customWidth="1"/>
    <col min="5887" max="5887" width="8.1640625" style="248" customWidth="1"/>
    <col min="5888" max="5890" width="14.5" style="248" customWidth="1"/>
    <col min="5891" max="6140" width="9.33203125" style="248"/>
    <col min="6141" max="6141" width="6.83203125" style="248" customWidth="1"/>
    <col min="6142" max="6142" width="60.1640625" style="248" customWidth="1"/>
    <col min="6143" max="6143" width="8.1640625" style="248" customWidth="1"/>
    <col min="6144" max="6146" width="14.5" style="248" customWidth="1"/>
    <col min="6147" max="6396" width="9.33203125" style="248"/>
    <col min="6397" max="6397" width="6.83203125" style="248" customWidth="1"/>
    <col min="6398" max="6398" width="60.1640625" style="248" customWidth="1"/>
    <col min="6399" max="6399" width="8.1640625" style="248" customWidth="1"/>
    <col min="6400" max="6402" width="14.5" style="248" customWidth="1"/>
    <col min="6403" max="6652" width="9.33203125" style="248"/>
    <col min="6653" max="6653" width="6.83203125" style="248" customWidth="1"/>
    <col min="6654" max="6654" width="60.1640625" style="248" customWidth="1"/>
    <col min="6655" max="6655" width="8.1640625" style="248" customWidth="1"/>
    <col min="6656" max="6658" width="14.5" style="248" customWidth="1"/>
    <col min="6659" max="6908" width="9.33203125" style="248"/>
    <col min="6909" max="6909" width="6.83203125" style="248" customWidth="1"/>
    <col min="6910" max="6910" width="60.1640625" style="248" customWidth="1"/>
    <col min="6911" max="6911" width="8.1640625" style="248" customWidth="1"/>
    <col min="6912" max="6914" width="14.5" style="248" customWidth="1"/>
    <col min="6915" max="7164" width="9.33203125" style="248"/>
    <col min="7165" max="7165" width="6.83203125" style="248" customWidth="1"/>
    <col min="7166" max="7166" width="60.1640625" style="248" customWidth="1"/>
    <col min="7167" max="7167" width="8.1640625" style="248" customWidth="1"/>
    <col min="7168" max="7170" width="14.5" style="248" customWidth="1"/>
    <col min="7171" max="7420" width="9.33203125" style="248"/>
    <col min="7421" max="7421" width="6.83203125" style="248" customWidth="1"/>
    <col min="7422" max="7422" width="60.1640625" style="248" customWidth="1"/>
    <col min="7423" max="7423" width="8.1640625" style="248" customWidth="1"/>
    <col min="7424" max="7426" width="14.5" style="248" customWidth="1"/>
    <col min="7427" max="7676" width="9.33203125" style="248"/>
    <col min="7677" max="7677" width="6.83203125" style="248" customWidth="1"/>
    <col min="7678" max="7678" width="60.1640625" style="248" customWidth="1"/>
    <col min="7679" max="7679" width="8.1640625" style="248" customWidth="1"/>
    <col min="7680" max="7682" width="14.5" style="248" customWidth="1"/>
    <col min="7683" max="7932" width="9.33203125" style="248"/>
    <col min="7933" max="7933" width="6.83203125" style="248" customWidth="1"/>
    <col min="7934" max="7934" width="60.1640625" style="248" customWidth="1"/>
    <col min="7935" max="7935" width="8.1640625" style="248" customWidth="1"/>
    <col min="7936" max="7938" width="14.5" style="248" customWidth="1"/>
    <col min="7939" max="8188" width="9.33203125" style="248"/>
    <col min="8189" max="8189" width="6.83203125" style="248" customWidth="1"/>
    <col min="8190" max="8190" width="60.1640625" style="248" customWidth="1"/>
    <col min="8191" max="8191" width="8.1640625" style="248" customWidth="1"/>
    <col min="8192" max="8194" width="14.5" style="248" customWidth="1"/>
    <col min="8195" max="8444" width="9.33203125" style="248"/>
    <col min="8445" max="8445" width="6.83203125" style="248" customWidth="1"/>
    <col min="8446" max="8446" width="60.1640625" style="248" customWidth="1"/>
    <col min="8447" max="8447" width="8.1640625" style="248" customWidth="1"/>
    <col min="8448" max="8450" width="14.5" style="248" customWidth="1"/>
    <col min="8451" max="8700" width="9.33203125" style="248"/>
    <col min="8701" max="8701" width="6.83203125" style="248" customWidth="1"/>
    <col min="8702" max="8702" width="60.1640625" style="248" customWidth="1"/>
    <col min="8703" max="8703" width="8.1640625" style="248" customWidth="1"/>
    <col min="8704" max="8706" width="14.5" style="248" customWidth="1"/>
    <col min="8707" max="8956" width="9.33203125" style="248"/>
    <col min="8957" max="8957" width="6.83203125" style="248" customWidth="1"/>
    <col min="8958" max="8958" width="60.1640625" style="248" customWidth="1"/>
    <col min="8959" max="8959" width="8.1640625" style="248" customWidth="1"/>
    <col min="8960" max="8962" width="14.5" style="248" customWidth="1"/>
    <col min="8963" max="9212" width="9.33203125" style="248"/>
    <col min="9213" max="9213" width="6.83203125" style="248" customWidth="1"/>
    <col min="9214" max="9214" width="60.1640625" style="248" customWidth="1"/>
    <col min="9215" max="9215" width="8.1640625" style="248" customWidth="1"/>
    <col min="9216" max="9218" width="14.5" style="248" customWidth="1"/>
    <col min="9219" max="9468" width="9.33203125" style="248"/>
    <col min="9469" max="9469" width="6.83203125" style="248" customWidth="1"/>
    <col min="9470" max="9470" width="60.1640625" style="248" customWidth="1"/>
    <col min="9471" max="9471" width="8.1640625" style="248" customWidth="1"/>
    <col min="9472" max="9474" width="14.5" style="248" customWidth="1"/>
    <col min="9475" max="9724" width="9.33203125" style="248"/>
    <col min="9725" max="9725" width="6.83203125" style="248" customWidth="1"/>
    <col min="9726" max="9726" width="60.1640625" style="248" customWidth="1"/>
    <col min="9727" max="9727" width="8.1640625" style="248" customWidth="1"/>
    <col min="9728" max="9730" width="14.5" style="248" customWidth="1"/>
    <col min="9731" max="9980" width="9.33203125" style="248"/>
    <col min="9981" max="9981" width="6.83203125" style="248" customWidth="1"/>
    <col min="9982" max="9982" width="60.1640625" style="248" customWidth="1"/>
    <col min="9983" max="9983" width="8.1640625" style="248" customWidth="1"/>
    <col min="9984" max="9986" width="14.5" style="248" customWidth="1"/>
    <col min="9987" max="10236" width="9.33203125" style="248"/>
    <col min="10237" max="10237" width="6.83203125" style="248" customWidth="1"/>
    <col min="10238" max="10238" width="60.1640625" style="248" customWidth="1"/>
    <col min="10239" max="10239" width="8.1640625" style="248" customWidth="1"/>
    <col min="10240" max="10242" width="14.5" style="248" customWidth="1"/>
    <col min="10243" max="10492" width="9.33203125" style="248"/>
    <col min="10493" max="10493" width="6.83203125" style="248" customWidth="1"/>
    <col min="10494" max="10494" width="60.1640625" style="248" customWidth="1"/>
    <col min="10495" max="10495" width="8.1640625" style="248" customWidth="1"/>
    <col min="10496" max="10498" width="14.5" style="248" customWidth="1"/>
    <col min="10499" max="10748" width="9.33203125" style="248"/>
    <col min="10749" max="10749" width="6.83203125" style="248" customWidth="1"/>
    <col min="10750" max="10750" width="60.1640625" style="248" customWidth="1"/>
    <col min="10751" max="10751" width="8.1640625" style="248" customWidth="1"/>
    <col min="10752" max="10754" width="14.5" style="248" customWidth="1"/>
    <col min="10755" max="11004" width="9.33203125" style="248"/>
    <col min="11005" max="11005" width="6.83203125" style="248" customWidth="1"/>
    <col min="11006" max="11006" width="60.1640625" style="248" customWidth="1"/>
    <col min="11007" max="11007" width="8.1640625" style="248" customWidth="1"/>
    <col min="11008" max="11010" width="14.5" style="248" customWidth="1"/>
    <col min="11011" max="11260" width="9.33203125" style="248"/>
    <col min="11261" max="11261" width="6.83203125" style="248" customWidth="1"/>
    <col min="11262" max="11262" width="60.1640625" style="248" customWidth="1"/>
    <col min="11263" max="11263" width="8.1640625" style="248" customWidth="1"/>
    <col min="11264" max="11266" width="14.5" style="248" customWidth="1"/>
    <col min="11267" max="11516" width="9.33203125" style="248"/>
    <col min="11517" max="11517" width="6.83203125" style="248" customWidth="1"/>
    <col min="11518" max="11518" width="60.1640625" style="248" customWidth="1"/>
    <col min="11519" max="11519" width="8.1640625" style="248" customWidth="1"/>
    <col min="11520" max="11522" width="14.5" style="248" customWidth="1"/>
    <col min="11523" max="11772" width="9.33203125" style="248"/>
    <col min="11773" max="11773" width="6.83203125" style="248" customWidth="1"/>
    <col min="11774" max="11774" width="60.1640625" style="248" customWidth="1"/>
    <col min="11775" max="11775" width="8.1640625" style="248" customWidth="1"/>
    <col min="11776" max="11778" width="14.5" style="248" customWidth="1"/>
    <col min="11779" max="12028" width="9.33203125" style="248"/>
    <col min="12029" max="12029" width="6.83203125" style="248" customWidth="1"/>
    <col min="12030" max="12030" width="60.1640625" style="248" customWidth="1"/>
    <col min="12031" max="12031" width="8.1640625" style="248" customWidth="1"/>
    <col min="12032" max="12034" width="14.5" style="248" customWidth="1"/>
    <col min="12035" max="12284" width="9.33203125" style="248"/>
    <col min="12285" max="12285" width="6.83203125" style="248" customWidth="1"/>
    <col min="12286" max="12286" width="60.1640625" style="248" customWidth="1"/>
    <col min="12287" max="12287" width="8.1640625" style="248" customWidth="1"/>
    <col min="12288" max="12290" width="14.5" style="248" customWidth="1"/>
    <col min="12291" max="12540" width="9.33203125" style="248"/>
    <col min="12541" max="12541" width="6.83203125" style="248" customWidth="1"/>
    <col min="12542" max="12542" width="60.1640625" style="248" customWidth="1"/>
    <col min="12543" max="12543" width="8.1640625" style="248" customWidth="1"/>
    <col min="12544" max="12546" width="14.5" style="248" customWidth="1"/>
    <col min="12547" max="12796" width="9.33203125" style="248"/>
    <col min="12797" max="12797" width="6.83203125" style="248" customWidth="1"/>
    <col min="12798" max="12798" width="60.1640625" style="248" customWidth="1"/>
    <col min="12799" max="12799" width="8.1640625" style="248" customWidth="1"/>
    <col min="12800" max="12802" width="14.5" style="248" customWidth="1"/>
    <col min="12803" max="13052" width="9.33203125" style="248"/>
    <col min="13053" max="13053" width="6.83203125" style="248" customWidth="1"/>
    <col min="13054" max="13054" width="60.1640625" style="248" customWidth="1"/>
    <col min="13055" max="13055" width="8.1640625" style="248" customWidth="1"/>
    <col min="13056" max="13058" width="14.5" style="248" customWidth="1"/>
    <col min="13059" max="13308" width="9.33203125" style="248"/>
    <col min="13309" max="13309" width="6.83203125" style="248" customWidth="1"/>
    <col min="13310" max="13310" width="60.1640625" style="248" customWidth="1"/>
    <col min="13311" max="13311" width="8.1640625" style="248" customWidth="1"/>
    <col min="13312" max="13314" width="14.5" style="248" customWidth="1"/>
    <col min="13315" max="13564" width="9.33203125" style="248"/>
    <col min="13565" max="13565" width="6.83203125" style="248" customWidth="1"/>
    <col min="13566" max="13566" width="60.1640625" style="248" customWidth="1"/>
    <col min="13567" max="13567" width="8.1640625" style="248" customWidth="1"/>
    <col min="13568" max="13570" width="14.5" style="248" customWidth="1"/>
    <col min="13571" max="13820" width="9.33203125" style="248"/>
    <col min="13821" max="13821" width="6.83203125" style="248" customWidth="1"/>
    <col min="13822" max="13822" width="60.1640625" style="248" customWidth="1"/>
    <col min="13823" max="13823" width="8.1640625" style="248" customWidth="1"/>
    <col min="13824" max="13826" width="14.5" style="248" customWidth="1"/>
    <col min="13827" max="14076" width="9.33203125" style="248"/>
    <col min="14077" max="14077" width="6.83203125" style="248" customWidth="1"/>
    <col min="14078" max="14078" width="60.1640625" style="248" customWidth="1"/>
    <col min="14079" max="14079" width="8.1640625" style="248" customWidth="1"/>
    <col min="14080" max="14082" width="14.5" style="248" customWidth="1"/>
    <col min="14083" max="14332" width="9.33203125" style="248"/>
    <col min="14333" max="14333" width="6.83203125" style="248" customWidth="1"/>
    <col min="14334" max="14334" width="60.1640625" style="248" customWidth="1"/>
    <col min="14335" max="14335" width="8.1640625" style="248" customWidth="1"/>
    <col min="14336" max="14338" width="14.5" style="248" customWidth="1"/>
    <col min="14339" max="14588" width="9.33203125" style="248"/>
    <col min="14589" max="14589" width="6.83203125" style="248" customWidth="1"/>
    <col min="14590" max="14590" width="60.1640625" style="248" customWidth="1"/>
    <col min="14591" max="14591" width="8.1640625" style="248" customWidth="1"/>
    <col min="14592" max="14594" width="14.5" style="248" customWidth="1"/>
    <col min="14595" max="14844" width="9.33203125" style="248"/>
    <col min="14845" max="14845" width="6.83203125" style="248" customWidth="1"/>
    <col min="14846" max="14846" width="60.1640625" style="248" customWidth="1"/>
    <col min="14847" max="14847" width="8.1640625" style="248" customWidth="1"/>
    <col min="14848" max="14850" width="14.5" style="248" customWidth="1"/>
    <col min="14851" max="15100" width="9.33203125" style="248"/>
    <col min="15101" max="15101" width="6.83203125" style="248" customWidth="1"/>
    <col min="15102" max="15102" width="60.1640625" style="248" customWidth="1"/>
    <col min="15103" max="15103" width="8.1640625" style="248" customWidth="1"/>
    <col min="15104" max="15106" width="14.5" style="248" customWidth="1"/>
    <col min="15107" max="15356" width="9.33203125" style="248"/>
    <col min="15357" max="15357" width="6.83203125" style="248" customWidth="1"/>
    <col min="15358" max="15358" width="60.1640625" style="248" customWidth="1"/>
    <col min="15359" max="15359" width="8.1640625" style="248" customWidth="1"/>
    <col min="15360" max="15362" width="14.5" style="248" customWidth="1"/>
    <col min="15363" max="15612" width="9.33203125" style="248"/>
    <col min="15613" max="15613" width="6.83203125" style="248" customWidth="1"/>
    <col min="15614" max="15614" width="60.1640625" style="248" customWidth="1"/>
    <col min="15615" max="15615" width="8.1640625" style="248" customWidth="1"/>
    <col min="15616" max="15618" width="14.5" style="248" customWidth="1"/>
    <col min="15619" max="15868" width="9.33203125" style="248"/>
    <col min="15869" max="15869" width="6.83203125" style="248" customWidth="1"/>
    <col min="15870" max="15870" width="60.1640625" style="248" customWidth="1"/>
    <col min="15871" max="15871" width="8.1640625" style="248" customWidth="1"/>
    <col min="15872" max="15874" width="14.5" style="248" customWidth="1"/>
    <col min="15875" max="16124" width="9.33203125" style="248"/>
    <col min="16125" max="16125" width="6.83203125" style="248" customWidth="1"/>
    <col min="16126" max="16126" width="60.1640625" style="248" customWidth="1"/>
    <col min="16127" max="16127" width="8.1640625" style="248" customWidth="1"/>
    <col min="16128" max="16130" width="14.5" style="248" customWidth="1"/>
    <col min="16131" max="16384" width="9.33203125" style="248"/>
  </cols>
  <sheetData>
    <row r="1" spans="1:6" s="242" customFormat="1" ht="40.5" customHeight="1" x14ac:dyDescent="0.2">
      <c r="A1" s="1169" t="s">
        <v>777</v>
      </c>
      <c r="B1" s="1170"/>
      <c r="C1" s="1170"/>
      <c r="D1" s="1170"/>
      <c r="E1" s="1170"/>
      <c r="F1" s="1170"/>
    </row>
    <row r="2" spans="1:6" s="245" customFormat="1" ht="15.95" customHeight="1" x14ac:dyDescent="0.2">
      <c r="A2" s="243"/>
      <c r="B2" s="243"/>
      <c r="C2" s="244"/>
      <c r="D2" s="244"/>
      <c r="E2" s="244"/>
      <c r="F2" s="244" t="s">
        <v>1</v>
      </c>
    </row>
    <row r="3" spans="1:6" ht="38.25" customHeight="1" x14ac:dyDescent="0.2">
      <c r="A3" s="246" t="s">
        <v>365</v>
      </c>
      <c r="B3" s="246" t="s">
        <v>420</v>
      </c>
      <c r="C3" s="247" t="s">
        <v>421</v>
      </c>
      <c r="D3" s="247" t="s">
        <v>500</v>
      </c>
      <c r="E3" s="247" t="s">
        <v>936</v>
      </c>
      <c r="F3" s="247" t="s">
        <v>937</v>
      </c>
    </row>
    <row r="4" spans="1:6" s="250" customFormat="1" ht="12.95" customHeight="1" x14ac:dyDescent="0.2">
      <c r="A4" s="249" t="s">
        <v>5</v>
      </c>
      <c r="B4" s="249" t="s">
        <v>6</v>
      </c>
      <c r="C4" s="249" t="s">
        <v>7</v>
      </c>
      <c r="D4" s="249" t="s">
        <v>8</v>
      </c>
      <c r="E4" s="249" t="s">
        <v>263</v>
      </c>
      <c r="F4" s="249" t="s">
        <v>422</v>
      </c>
    </row>
    <row r="5" spans="1:6" s="250" customFormat="1" ht="15.95" customHeight="1" x14ac:dyDescent="0.2">
      <c r="A5" s="1171" t="s">
        <v>260</v>
      </c>
      <c r="B5" s="1172"/>
      <c r="C5" s="1172"/>
      <c r="D5" s="1172"/>
      <c r="E5" s="1172"/>
      <c r="F5" s="1173"/>
    </row>
    <row r="6" spans="1:6" s="250" customFormat="1" ht="25.5" customHeight="1" x14ac:dyDescent="0.2">
      <c r="A6" s="251" t="s">
        <v>9</v>
      </c>
      <c r="B6" s="870" t="s">
        <v>423</v>
      </c>
      <c r="C6" s="251" t="s">
        <v>424</v>
      </c>
      <c r="D6" s="253"/>
      <c r="E6" s="253"/>
      <c r="F6" s="253">
        <f>SUM(D6:E6)</f>
        <v>0</v>
      </c>
    </row>
    <row r="7" spans="1:6" s="250" customFormat="1" ht="30" customHeight="1" x14ac:dyDescent="0.2">
      <c r="A7" s="254" t="s">
        <v>12</v>
      </c>
      <c r="B7" s="871" t="s">
        <v>425</v>
      </c>
      <c r="C7" s="254" t="s">
        <v>426</v>
      </c>
      <c r="D7" s="256"/>
      <c r="E7" s="256"/>
      <c r="F7" s="256">
        <f>SUM(D7:E7)</f>
        <v>0</v>
      </c>
    </row>
    <row r="8" spans="1:6" s="250" customFormat="1" ht="25.5" customHeight="1" x14ac:dyDescent="0.2">
      <c r="A8" s="254" t="s">
        <v>15</v>
      </c>
      <c r="B8" s="871" t="s">
        <v>427</v>
      </c>
      <c r="C8" s="257" t="s">
        <v>428</v>
      </c>
      <c r="D8" s="256"/>
      <c r="E8" s="256"/>
      <c r="F8" s="256">
        <f>SUM(D8:E8)</f>
        <v>0</v>
      </c>
    </row>
    <row r="9" spans="1:6" s="250" customFormat="1" ht="25.5" customHeight="1" x14ac:dyDescent="0.2">
      <c r="A9" s="254" t="s">
        <v>18</v>
      </c>
      <c r="B9" s="871" t="s">
        <v>429</v>
      </c>
      <c r="C9" s="257" t="s">
        <v>430</v>
      </c>
      <c r="D9" s="256"/>
      <c r="E9" s="256"/>
      <c r="F9" s="256">
        <f>SUM(D9:E9)</f>
        <v>0</v>
      </c>
    </row>
    <row r="10" spans="1:6" s="250" customFormat="1" ht="27.75" customHeight="1" x14ac:dyDescent="0.2">
      <c r="A10" s="258" t="s">
        <v>21</v>
      </c>
      <c r="B10" s="872" t="s">
        <v>431</v>
      </c>
      <c r="C10" s="258" t="s">
        <v>35</v>
      </c>
      <c r="D10" s="256">
        <f>SUM(D6:D9)</f>
        <v>0</v>
      </c>
      <c r="E10" s="256">
        <f>SUM(E6:E9)</f>
        <v>0</v>
      </c>
      <c r="F10" s="256">
        <f t="shared" ref="F10:F14" si="0">SUM(D10:E10)</f>
        <v>0</v>
      </c>
    </row>
    <row r="11" spans="1:6" s="250" customFormat="1" ht="24.75" customHeight="1" x14ac:dyDescent="0.2">
      <c r="A11" s="254" t="s">
        <v>24</v>
      </c>
      <c r="B11" s="871" t="s">
        <v>432</v>
      </c>
      <c r="C11" s="254" t="s">
        <v>433</v>
      </c>
      <c r="D11" s="256"/>
      <c r="E11" s="256"/>
      <c r="F11" s="256">
        <f t="shared" si="0"/>
        <v>0</v>
      </c>
    </row>
    <row r="12" spans="1:6" s="250" customFormat="1" ht="30" customHeight="1" x14ac:dyDescent="0.2">
      <c r="A12" s="254" t="s">
        <v>27</v>
      </c>
      <c r="B12" s="871" t="s">
        <v>434</v>
      </c>
      <c r="C12" s="254" t="s">
        <v>435</v>
      </c>
      <c r="D12" s="256"/>
      <c r="E12" s="256"/>
      <c r="F12" s="256">
        <f t="shared" si="0"/>
        <v>0</v>
      </c>
    </row>
    <row r="13" spans="1:6" s="250" customFormat="1" ht="30" customHeight="1" x14ac:dyDescent="0.2">
      <c r="A13" s="254" t="s">
        <v>30</v>
      </c>
      <c r="B13" s="871" t="s">
        <v>436</v>
      </c>
      <c r="C13" s="254" t="s">
        <v>437</v>
      </c>
      <c r="D13" s="256"/>
      <c r="E13" s="256"/>
      <c r="F13" s="256">
        <f t="shared" si="0"/>
        <v>0</v>
      </c>
    </row>
    <row r="14" spans="1:6" s="250" customFormat="1" ht="30" customHeight="1" x14ac:dyDescent="0.2">
      <c r="A14" s="254" t="s">
        <v>33</v>
      </c>
      <c r="B14" s="871" t="s">
        <v>438</v>
      </c>
      <c r="C14" s="254" t="s">
        <v>439</v>
      </c>
      <c r="D14" s="256"/>
      <c r="E14" s="256"/>
      <c r="F14" s="256">
        <f t="shared" si="0"/>
        <v>0</v>
      </c>
    </row>
    <row r="15" spans="1:6" s="250" customFormat="1" ht="21.75" customHeight="1" x14ac:dyDescent="0.2">
      <c r="A15" s="258" t="s">
        <v>36</v>
      </c>
      <c r="B15" s="873" t="s">
        <v>403</v>
      </c>
      <c r="C15" s="260" t="s">
        <v>58</v>
      </c>
      <c r="D15" s="259">
        <f>SUM(D11:D14)</f>
        <v>0</v>
      </c>
      <c r="E15" s="259">
        <f>SUM(E11:E14)</f>
        <v>0</v>
      </c>
      <c r="F15" s="259">
        <f>SUM(F11:F14)</f>
        <v>0</v>
      </c>
    </row>
    <row r="16" spans="1:6" s="264" customFormat="1" ht="16.5" customHeight="1" x14ac:dyDescent="0.2">
      <c r="A16" s="254" t="s">
        <v>38</v>
      </c>
      <c r="B16" s="874" t="s">
        <v>106</v>
      </c>
      <c r="C16" s="262" t="s">
        <v>107</v>
      </c>
      <c r="D16" s="263"/>
      <c r="E16" s="263"/>
      <c r="F16" s="263">
        <f>SUM(D16:E16)</f>
        <v>0</v>
      </c>
    </row>
    <row r="17" spans="1:6" s="264" customFormat="1" ht="16.5" customHeight="1" x14ac:dyDescent="0.2">
      <c r="A17" s="254" t="s">
        <v>40</v>
      </c>
      <c r="B17" s="874" t="s">
        <v>109</v>
      </c>
      <c r="C17" s="262" t="s">
        <v>110</v>
      </c>
      <c r="D17" s="263"/>
      <c r="E17" s="263"/>
      <c r="F17" s="263">
        <f>SUM(D17:E17)</f>
        <v>0</v>
      </c>
    </row>
    <row r="18" spans="1:6" s="264" customFormat="1" ht="16.5" customHeight="1" x14ac:dyDescent="0.2">
      <c r="A18" s="254" t="s">
        <v>42</v>
      </c>
      <c r="B18" s="874" t="s">
        <v>440</v>
      </c>
      <c r="C18" s="262" t="s">
        <v>113</v>
      </c>
      <c r="D18" s="263">
        <f>SUM(D19:D20)</f>
        <v>0</v>
      </c>
      <c r="E18" s="263">
        <f>SUM(E19:E20)</f>
        <v>0</v>
      </c>
      <c r="F18" s="263">
        <f>SUM(F19:F20)</f>
        <v>0</v>
      </c>
    </row>
    <row r="19" spans="1:6" s="264" customFormat="1" ht="16.5" customHeight="1" x14ac:dyDescent="0.2">
      <c r="A19" s="254" t="s">
        <v>44</v>
      </c>
      <c r="B19" s="875" t="s">
        <v>441</v>
      </c>
      <c r="C19" s="266" t="s">
        <v>442</v>
      </c>
      <c r="D19" s="267"/>
      <c r="E19" s="267"/>
      <c r="F19" s="267">
        <f>SUM(D19:E19)</f>
        <v>0</v>
      </c>
    </row>
    <row r="20" spans="1:6" s="268" customFormat="1" ht="16.5" customHeight="1" x14ac:dyDescent="0.2">
      <c r="A20" s="254" t="s">
        <v>46</v>
      </c>
      <c r="B20" s="875" t="s">
        <v>443</v>
      </c>
      <c r="C20" s="266" t="s">
        <v>444</v>
      </c>
      <c r="D20" s="267"/>
      <c r="E20" s="267"/>
      <c r="F20" s="267">
        <f>SUM(D20:E20)</f>
        <v>0</v>
      </c>
    </row>
    <row r="21" spans="1:6" s="268" customFormat="1" ht="16.5" customHeight="1" x14ac:dyDescent="0.2">
      <c r="A21" s="254" t="s">
        <v>48</v>
      </c>
      <c r="B21" s="876" t="s">
        <v>115</v>
      </c>
      <c r="C21" s="262" t="s">
        <v>116</v>
      </c>
      <c r="D21" s="267"/>
      <c r="E21" s="267"/>
      <c r="F21" s="267">
        <f>SUM(D21:E21)</f>
        <v>0</v>
      </c>
    </row>
    <row r="22" spans="1:6" s="264" customFormat="1" ht="16.5" customHeight="1" x14ac:dyDescent="0.2">
      <c r="A22" s="254" t="s">
        <v>50</v>
      </c>
      <c r="B22" s="874" t="s">
        <v>118</v>
      </c>
      <c r="C22" s="262" t="s">
        <v>119</v>
      </c>
      <c r="D22" s="263"/>
      <c r="E22" s="263"/>
      <c r="F22" s="267">
        <f t="shared" ref="F22:F27" si="1">SUM(D22:E22)</f>
        <v>0</v>
      </c>
    </row>
    <row r="23" spans="1:6" s="264" customFormat="1" ht="16.5" customHeight="1" x14ac:dyDescent="0.2">
      <c r="A23" s="254" t="s">
        <v>53</v>
      </c>
      <c r="B23" s="874" t="s">
        <v>445</v>
      </c>
      <c r="C23" s="262" t="s">
        <v>122</v>
      </c>
      <c r="D23" s="263"/>
      <c r="E23" s="263"/>
      <c r="F23" s="267">
        <f t="shared" si="1"/>
        <v>0</v>
      </c>
    </row>
    <row r="24" spans="1:6" s="268" customFormat="1" ht="16.5" customHeight="1" x14ac:dyDescent="0.2">
      <c r="A24" s="254" t="s">
        <v>56</v>
      </c>
      <c r="B24" s="874" t="s">
        <v>446</v>
      </c>
      <c r="C24" s="262" t="s">
        <v>125</v>
      </c>
      <c r="D24" s="263"/>
      <c r="E24" s="263"/>
      <c r="F24" s="267">
        <f t="shared" si="1"/>
        <v>0</v>
      </c>
    </row>
    <row r="25" spans="1:6" s="268" customFormat="1" ht="16.5" customHeight="1" x14ac:dyDescent="0.2">
      <c r="A25" s="254" t="s">
        <v>59</v>
      </c>
      <c r="B25" s="877" t="s">
        <v>127</v>
      </c>
      <c r="C25" s="262" t="s">
        <v>128</v>
      </c>
      <c r="D25" s="263"/>
      <c r="E25" s="263"/>
      <c r="F25" s="267">
        <f t="shared" si="1"/>
        <v>0</v>
      </c>
    </row>
    <row r="26" spans="1:6" s="268" customFormat="1" ht="16.5" customHeight="1" x14ac:dyDescent="0.2">
      <c r="A26" s="254" t="s">
        <v>61</v>
      </c>
      <c r="B26" s="874" t="s">
        <v>447</v>
      </c>
      <c r="C26" s="262" t="s">
        <v>131</v>
      </c>
      <c r="D26" s="263"/>
      <c r="E26" s="263"/>
      <c r="F26" s="267">
        <f t="shared" si="1"/>
        <v>0</v>
      </c>
    </row>
    <row r="27" spans="1:6" s="268" customFormat="1" ht="16.5" customHeight="1" x14ac:dyDescent="0.2">
      <c r="A27" s="254" t="s">
        <v>63</v>
      </c>
      <c r="B27" s="874" t="s">
        <v>448</v>
      </c>
      <c r="C27" s="262" t="s">
        <v>134</v>
      </c>
      <c r="D27" s="263"/>
      <c r="E27" s="263"/>
      <c r="F27" s="267">
        <f t="shared" si="1"/>
        <v>0</v>
      </c>
    </row>
    <row r="28" spans="1:6" s="268" customFormat="1" ht="16.5" customHeight="1" x14ac:dyDescent="0.2">
      <c r="A28" s="682" t="s">
        <v>65</v>
      </c>
      <c r="B28" s="878" t="s">
        <v>136</v>
      </c>
      <c r="C28" s="696" t="s">
        <v>137</v>
      </c>
      <c r="D28" s="104"/>
      <c r="E28" s="104">
        <v>5859</v>
      </c>
      <c r="F28" s="868">
        <v>5859</v>
      </c>
    </row>
    <row r="29" spans="1:6" s="268" customFormat="1" ht="21.75" customHeight="1" x14ac:dyDescent="0.2">
      <c r="A29" s="272" t="s">
        <v>67</v>
      </c>
      <c r="B29" s="879" t="s">
        <v>449</v>
      </c>
      <c r="C29" s="697" t="s">
        <v>140</v>
      </c>
      <c r="D29" s="275">
        <f>SUM(D16+D17+D18+D21+D22+D23+D24+D25+D26+D27+D28)</f>
        <v>0</v>
      </c>
      <c r="E29" s="275">
        <f>SUM(E16+E17+E18+E21+E22+E23+E24+E25+E26+E27+E28)</f>
        <v>5859</v>
      </c>
      <c r="F29" s="275">
        <f>SUM(F16+F17+F18+F21+F22+F23+F24+F25+F26+F27+F28)</f>
        <v>5859</v>
      </c>
    </row>
    <row r="30" spans="1:6" s="271" customFormat="1" ht="21.75" customHeight="1" x14ac:dyDescent="0.2">
      <c r="A30" s="272" t="s">
        <v>69</v>
      </c>
      <c r="B30" s="879" t="s">
        <v>405</v>
      </c>
      <c r="C30" s="697" t="s">
        <v>158</v>
      </c>
      <c r="D30" s="275"/>
      <c r="E30" s="275"/>
      <c r="F30" s="275">
        <f>SUM(D30:E30)</f>
        <v>0</v>
      </c>
    </row>
    <row r="31" spans="1:6" s="268" customFormat="1" ht="21.75" customHeight="1" x14ac:dyDescent="0.2">
      <c r="A31" s="272" t="s">
        <v>71</v>
      </c>
      <c r="B31" s="879" t="s">
        <v>375</v>
      </c>
      <c r="C31" s="697" t="s">
        <v>167</v>
      </c>
      <c r="D31" s="702"/>
      <c r="E31" s="702"/>
      <c r="F31" s="702">
        <f>SUM(D31:E31)</f>
        <v>0</v>
      </c>
    </row>
    <row r="32" spans="1:6" s="268" customFormat="1" ht="21.75" customHeight="1" x14ac:dyDescent="0.2">
      <c r="A32" s="698" t="s">
        <v>74</v>
      </c>
      <c r="B32" s="880" t="s">
        <v>406</v>
      </c>
      <c r="C32" s="700" t="s">
        <v>176</v>
      </c>
      <c r="D32" s="701"/>
      <c r="E32" s="701"/>
      <c r="F32" s="701">
        <f>SUM(D32:E32)</f>
        <v>0</v>
      </c>
    </row>
    <row r="33" spans="1:6" s="268" customFormat="1" ht="21.75" customHeight="1" x14ac:dyDescent="0.2">
      <c r="A33" s="272" t="s">
        <v>77</v>
      </c>
      <c r="B33" s="879" t="s">
        <v>450</v>
      </c>
      <c r="C33" s="274"/>
      <c r="D33" s="275">
        <f>D10+D15+D29+D30+D31+D32</f>
        <v>0</v>
      </c>
      <c r="E33" s="275">
        <f>E10+E15+E29+E30+E31+E32</f>
        <v>5859</v>
      </c>
      <c r="F33" s="275">
        <f>F10+F15+F29+F30+F31+F32</f>
        <v>5859</v>
      </c>
    </row>
    <row r="34" spans="1:6" s="264" customFormat="1" ht="21.75" customHeight="1" x14ac:dyDescent="0.2">
      <c r="A34" s="254" t="s">
        <v>80</v>
      </c>
      <c r="B34" s="881" t="s">
        <v>451</v>
      </c>
      <c r="C34" s="277" t="s">
        <v>185</v>
      </c>
      <c r="D34" s="278">
        <f>SUM(D35:D36)</f>
        <v>213189</v>
      </c>
      <c r="E34" s="278">
        <f>SUM(E35:E36)</f>
        <v>231189</v>
      </c>
      <c r="F34" s="278">
        <f>SUM(F35:F36)</f>
        <v>231189</v>
      </c>
    </row>
    <row r="35" spans="1:6" s="264" customFormat="1" ht="21.75" customHeight="1" x14ac:dyDescent="0.2">
      <c r="A35" s="254" t="s">
        <v>82</v>
      </c>
      <c r="B35" s="882" t="s">
        <v>187</v>
      </c>
      <c r="C35" s="277" t="s">
        <v>188</v>
      </c>
      <c r="D35" s="278">
        <v>213189</v>
      </c>
      <c r="E35" s="278">
        <v>231189</v>
      </c>
      <c r="F35" s="278">
        <v>231189</v>
      </c>
    </row>
    <row r="36" spans="1:6" s="264" customFormat="1" ht="21.75" customHeight="1" x14ac:dyDescent="0.2">
      <c r="A36" s="254" t="s">
        <v>84</v>
      </c>
      <c r="B36" s="882" t="s">
        <v>190</v>
      </c>
      <c r="C36" s="277" t="s">
        <v>191</v>
      </c>
      <c r="D36" s="278"/>
      <c r="E36" s="278"/>
      <c r="F36" s="278">
        <f>SUM(D36:E36)</f>
        <v>0</v>
      </c>
    </row>
    <row r="37" spans="1:6" s="264" customFormat="1" ht="21.75" customHeight="1" x14ac:dyDescent="0.2">
      <c r="A37" s="254" t="s">
        <v>86</v>
      </c>
      <c r="B37" s="881" t="s">
        <v>452</v>
      </c>
      <c r="C37" s="279" t="s">
        <v>453</v>
      </c>
      <c r="D37" s="278">
        <f>SUM(D38:D39)</f>
        <v>60320522.333333336</v>
      </c>
      <c r="E37" s="278">
        <f t="shared" ref="E37:F37" si="2">SUM(E38:E39)</f>
        <v>60862640.333333299</v>
      </c>
      <c r="F37" s="278">
        <f t="shared" si="2"/>
        <v>29463252</v>
      </c>
    </row>
    <row r="38" spans="1:6" s="264" customFormat="1" ht="21.75" customHeight="1" x14ac:dyDescent="0.2">
      <c r="A38" s="254"/>
      <c r="B38" s="883" t="s">
        <v>528</v>
      </c>
      <c r="C38" s="438" t="s">
        <v>453</v>
      </c>
      <c r="D38" s="439">
        <v>51582233.333333336</v>
      </c>
      <c r="E38" s="439">
        <f>51582233.3333333+542118</f>
        <v>52124351.333333299</v>
      </c>
      <c r="F38" s="439">
        <v>29463252</v>
      </c>
    </row>
    <row r="39" spans="1:6" s="264" customFormat="1" ht="21.75" customHeight="1" x14ac:dyDescent="0.2">
      <c r="A39" s="682"/>
      <c r="B39" s="884" t="s">
        <v>529</v>
      </c>
      <c r="C39" s="704" t="s">
        <v>453</v>
      </c>
      <c r="D39" s="869">
        <v>8738289</v>
      </c>
      <c r="E39" s="869">
        <v>8738289</v>
      </c>
      <c r="F39" s="869"/>
    </row>
    <row r="40" spans="1:6" s="264" customFormat="1" ht="21.75" customHeight="1" x14ac:dyDescent="0.2">
      <c r="A40" s="705" t="s">
        <v>89</v>
      </c>
      <c r="B40" s="879" t="s">
        <v>454</v>
      </c>
      <c r="C40" s="280" t="s">
        <v>455</v>
      </c>
      <c r="D40" s="281">
        <f>SUM(D34+D37)</f>
        <v>60533711.333333336</v>
      </c>
      <c r="E40" s="281">
        <f>SUM(E34+E37)</f>
        <v>61093829.333333299</v>
      </c>
      <c r="F40" s="281">
        <f>SUM(F34+F37)</f>
        <v>29694441</v>
      </c>
    </row>
    <row r="41" spans="1:6" s="264" customFormat="1" ht="21.75" customHeight="1" x14ac:dyDescent="0.2">
      <c r="A41" s="272" t="s">
        <v>93</v>
      </c>
      <c r="B41" s="879" t="s">
        <v>531</v>
      </c>
      <c r="C41" s="280" t="s">
        <v>194</v>
      </c>
      <c r="D41" s="281">
        <f>D40</f>
        <v>60533711.333333336</v>
      </c>
      <c r="E41" s="281">
        <f t="shared" ref="E41:F41" si="3">E40</f>
        <v>61093829.333333299</v>
      </c>
      <c r="F41" s="281">
        <f t="shared" si="3"/>
        <v>29694441</v>
      </c>
    </row>
    <row r="42" spans="1:6" s="264" customFormat="1" ht="21.75" customHeight="1" x14ac:dyDescent="0.2">
      <c r="A42" s="272" t="s">
        <v>96</v>
      </c>
      <c r="B42" s="879" t="s">
        <v>457</v>
      </c>
      <c r="C42" s="282"/>
      <c r="D42" s="281">
        <f>D33+D41</f>
        <v>60533711.333333336</v>
      </c>
      <c r="E42" s="281">
        <f>E33+E41</f>
        <v>61099688.333333299</v>
      </c>
      <c r="F42" s="281">
        <f>F33+F41</f>
        <v>29700300</v>
      </c>
    </row>
    <row r="43" spans="1:6" s="264" customFormat="1" ht="15" customHeight="1" x14ac:dyDescent="0.2">
      <c r="A43" s="283"/>
      <c r="B43" s="284"/>
      <c r="C43" s="285"/>
      <c r="D43" s="286"/>
      <c r="E43" s="286"/>
      <c r="F43" s="286"/>
    </row>
    <row r="44" spans="1:6" s="264" customFormat="1" ht="15" customHeight="1" x14ac:dyDescent="0.2">
      <c r="A44" s="1174" t="s">
        <v>458</v>
      </c>
      <c r="B44" s="1174"/>
      <c r="C44" s="1174"/>
      <c r="D44" s="1174"/>
      <c r="E44" s="1174"/>
      <c r="F44" s="287"/>
    </row>
    <row r="45" spans="1:6" s="264" customFormat="1" ht="38.25" customHeight="1" x14ac:dyDescent="0.2">
      <c r="A45" s="247" t="s">
        <v>365</v>
      </c>
      <c r="B45" s="247" t="s">
        <v>262</v>
      </c>
      <c r="C45" s="288" t="s">
        <v>421</v>
      </c>
      <c r="D45" s="247" t="s">
        <v>500</v>
      </c>
      <c r="E45" s="247" t="s">
        <v>936</v>
      </c>
      <c r="F45" s="247" t="s">
        <v>937</v>
      </c>
    </row>
    <row r="46" spans="1:6" s="264" customFormat="1" ht="15" customHeight="1" x14ac:dyDescent="0.2">
      <c r="A46" s="289" t="s">
        <v>5</v>
      </c>
      <c r="B46" s="289" t="s">
        <v>6</v>
      </c>
      <c r="C46" s="289"/>
      <c r="D46" s="289" t="s">
        <v>8</v>
      </c>
      <c r="E46" s="289" t="s">
        <v>263</v>
      </c>
      <c r="F46" s="289" t="s">
        <v>422</v>
      </c>
    </row>
    <row r="47" spans="1:6" s="264" customFormat="1" ht="24.75" customHeight="1" x14ac:dyDescent="0.2">
      <c r="A47" s="885" t="s">
        <v>9</v>
      </c>
      <c r="B47" s="886" t="s">
        <v>199</v>
      </c>
      <c r="C47" s="887" t="s">
        <v>200</v>
      </c>
      <c r="D47" s="888">
        <v>48320743</v>
      </c>
      <c r="E47" s="888">
        <f>48320743+430865</f>
        <v>48751608</v>
      </c>
      <c r="F47" s="888">
        <v>23442285</v>
      </c>
    </row>
    <row r="48" spans="1:6" s="264" customFormat="1" ht="24.75" customHeight="1" x14ac:dyDescent="0.2">
      <c r="A48" s="889" t="s">
        <v>12</v>
      </c>
      <c r="B48" s="890" t="s">
        <v>201</v>
      </c>
      <c r="C48" s="891" t="s">
        <v>202</v>
      </c>
      <c r="D48" s="892">
        <v>9539808.9350000005</v>
      </c>
      <c r="E48" s="892">
        <f>9539808.935+84019</f>
        <v>9623827.9350000005</v>
      </c>
      <c r="F48" s="888">
        <v>5002824</v>
      </c>
    </row>
    <row r="49" spans="1:7" s="264" customFormat="1" ht="24.75" customHeight="1" x14ac:dyDescent="0.2">
      <c r="A49" s="889" t="s">
        <v>15</v>
      </c>
      <c r="B49" s="890" t="s">
        <v>203</v>
      </c>
      <c r="C49" s="891" t="s">
        <v>204</v>
      </c>
      <c r="D49" s="892">
        <v>1973159.0472440943</v>
      </c>
      <c r="E49" s="892">
        <f>1997018.04724409+27234</f>
        <v>2024252.0472440899</v>
      </c>
      <c r="F49" s="888">
        <v>775797</v>
      </c>
    </row>
    <row r="50" spans="1:7" s="264" customFormat="1" ht="24.75" customHeight="1" x14ac:dyDescent="0.2">
      <c r="A50" s="889" t="s">
        <v>18</v>
      </c>
      <c r="B50" s="890" t="s">
        <v>205</v>
      </c>
      <c r="C50" s="891" t="s">
        <v>206</v>
      </c>
      <c r="D50" s="892"/>
      <c r="E50" s="892"/>
      <c r="F50" s="888">
        <f>SUM(D50:E50)</f>
        <v>0</v>
      </c>
    </row>
    <row r="51" spans="1:7" s="264" customFormat="1" ht="24.75" customHeight="1" x14ac:dyDescent="0.2">
      <c r="A51" s="889" t="s">
        <v>21</v>
      </c>
      <c r="B51" s="890" t="s">
        <v>207</v>
      </c>
      <c r="C51" s="891" t="s">
        <v>208</v>
      </c>
      <c r="D51" s="892"/>
      <c r="E51" s="892"/>
      <c r="F51" s="888">
        <f>SUM(D51:E51)</f>
        <v>0</v>
      </c>
    </row>
    <row r="52" spans="1:7" s="250" customFormat="1" ht="24.75" customHeight="1" x14ac:dyDescent="0.2">
      <c r="A52" s="893" t="s">
        <v>24</v>
      </c>
      <c r="B52" s="894" t="s">
        <v>459</v>
      </c>
      <c r="C52" s="895" t="s">
        <v>225</v>
      </c>
      <c r="D52" s="896">
        <f>SUM(D47:D51)</f>
        <v>59833710.982244097</v>
      </c>
      <c r="E52" s="896">
        <f>SUM(E47:E51)</f>
        <v>60399687.982244089</v>
      </c>
      <c r="F52" s="896">
        <f>SUM(F47:F51)</f>
        <v>29220906</v>
      </c>
      <c r="G52" s="302"/>
    </row>
    <row r="53" spans="1:7" s="304" customFormat="1" ht="24.75" customHeight="1" x14ac:dyDescent="0.2">
      <c r="A53" s="889" t="s">
        <v>27</v>
      </c>
      <c r="B53" s="890" t="s">
        <v>460</v>
      </c>
      <c r="C53" s="891" t="s">
        <v>227</v>
      </c>
      <c r="D53" s="892">
        <v>550000</v>
      </c>
      <c r="E53" s="892">
        <v>550000</v>
      </c>
      <c r="F53" s="892"/>
      <c r="G53" s="303"/>
    </row>
    <row r="54" spans="1:7" ht="24.75" customHeight="1" x14ac:dyDescent="0.2">
      <c r="A54" s="889" t="s">
        <v>30</v>
      </c>
      <c r="B54" s="890" t="s">
        <v>228</v>
      </c>
      <c r="C54" s="891" t="s">
        <v>229</v>
      </c>
      <c r="D54" s="892">
        <v>150000</v>
      </c>
      <c r="E54" s="892">
        <v>150000</v>
      </c>
      <c r="F54" s="892"/>
      <c r="G54" s="305"/>
    </row>
    <row r="55" spans="1:7" ht="24.75" customHeight="1" x14ac:dyDescent="0.2">
      <c r="A55" s="889" t="s">
        <v>33</v>
      </c>
      <c r="B55" s="890" t="s">
        <v>461</v>
      </c>
      <c r="C55" s="891" t="s">
        <v>231</v>
      </c>
      <c r="D55" s="892"/>
      <c r="E55" s="892"/>
      <c r="F55" s="892">
        <f>SUM(D55:E55)</f>
        <v>0</v>
      </c>
      <c r="G55" s="305"/>
    </row>
    <row r="56" spans="1:7" ht="24.75" customHeight="1" x14ac:dyDescent="0.2">
      <c r="A56" s="897" t="s">
        <v>36</v>
      </c>
      <c r="B56" s="898" t="s">
        <v>462</v>
      </c>
      <c r="C56" s="899" t="s">
        <v>243</v>
      </c>
      <c r="D56" s="900">
        <f>SUM(D53:D55)</f>
        <v>700000</v>
      </c>
      <c r="E56" s="900">
        <f>SUM(E53:E55)</f>
        <v>700000</v>
      </c>
      <c r="F56" s="896">
        <f>SUM(F53:F55)</f>
        <v>0</v>
      </c>
      <c r="G56" s="305"/>
    </row>
    <row r="57" spans="1:7" ht="24.75" customHeight="1" x14ac:dyDescent="0.2">
      <c r="A57" s="901" t="s">
        <v>38</v>
      </c>
      <c r="B57" s="902" t="s">
        <v>463</v>
      </c>
      <c r="C57" s="903" t="s">
        <v>464</v>
      </c>
      <c r="D57" s="904">
        <f>D52+D56</f>
        <v>60533710.982244097</v>
      </c>
      <c r="E57" s="904">
        <f>E52+E56</f>
        <v>61099687.982244089</v>
      </c>
      <c r="F57" s="904">
        <f>F52+F56</f>
        <v>29220906</v>
      </c>
      <c r="G57" s="305"/>
    </row>
    <row r="58" spans="1:7" ht="24.75" customHeight="1" x14ac:dyDescent="0.2">
      <c r="A58" s="887" t="s">
        <v>40</v>
      </c>
      <c r="B58" s="905" t="s">
        <v>465</v>
      </c>
      <c r="C58" s="906" t="s">
        <v>466</v>
      </c>
      <c r="D58" s="907"/>
      <c r="E58" s="907"/>
      <c r="F58" s="907">
        <f>SUM(D58:E58)</f>
        <v>0</v>
      </c>
      <c r="G58" s="305"/>
    </row>
    <row r="59" spans="1:7" ht="24.75" customHeight="1" x14ac:dyDescent="0.2">
      <c r="A59" s="903" t="s">
        <v>44</v>
      </c>
      <c r="B59" s="902" t="s">
        <v>530</v>
      </c>
      <c r="C59" s="903" t="s">
        <v>255</v>
      </c>
      <c r="D59" s="904">
        <f>SUM(D58:D58)</f>
        <v>0</v>
      </c>
      <c r="E59" s="904">
        <f>SUM(E58:E58)</f>
        <v>0</v>
      </c>
      <c r="F59" s="904">
        <f>SUM(F58:F58)</f>
        <v>0</v>
      </c>
      <c r="G59" s="305"/>
    </row>
    <row r="60" spans="1:7" ht="24.75" customHeight="1" x14ac:dyDescent="0.2">
      <c r="A60" s="908" t="s">
        <v>46</v>
      </c>
      <c r="B60" s="909" t="s">
        <v>467</v>
      </c>
      <c r="C60" s="903" t="s">
        <v>257</v>
      </c>
      <c r="D60" s="910">
        <f>SUM(D57+D59)</f>
        <v>60533710.982244097</v>
      </c>
      <c r="E60" s="910">
        <f>SUM(E57+E59)</f>
        <v>61099687.982244089</v>
      </c>
      <c r="F60" s="910">
        <f>SUM(F57+F59)</f>
        <v>29220906</v>
      </c>
      <c r="G60" s="305"/>
    </row>
    <row r="61" spans="1:7" ht="12" customHeight="1" x14ac:dyDescent="0.2">
      <c r="A61" s="315"/>
      <c r="B61" s="316"/>
      <c r="C61" s="317"/>
      <c r="D61" s="317"/>
      <c r="E61" s="317"/>
      <c r="F61" s="317"/>
      <c r="G61" s="305"/>
    </row>
    <row r="62" spans="1:7" ht="12" customHeight="1" x14ac:dyDescent="0.2">
      <c r="A62" s="315"/>
      <c r="B62" s="316"/>
      <c r="C62" s="317"/>
      <c r="D62" s="317"/>
      <c r="E62" s="317"/>
      <c r="F62" s="317"/>
      <c r="G62" s="305"/>
    </row>
    <row r="63" spans="1:7" x14ac:dyDescent="0.2">
      <c r="A63" s="318"/>
      <c r="B63" s="319"/>
      <c r="C63" s="319"/>
    </row>
    <row r="64" spans="1:7" x14ac:dyDescent="0.2">
      <c r="A64" s="318"/>
      <c r="B64" s="319"/>
      <c r="C64" s="319"/>
    </row>
    <row r="65" spans="1:3" x14ac:dyDescent="0.2">
      <c r="A65" s="318"/>
      <c r="B65" s="319"/>
      <c r="C65" s="319"/>
    </row>
  </sheetData>
  <mergeCells count="3">
    <mergeCell ref="A1:F1"/>
    <mergeCell ref="A5:F5"/>
    <mergeCell ref="A44:E4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26"/>
  <sheetViews>
    <sheetView view="pageBreakPreview" zoomScale="60" zoomScaleNormal="100" workbookViewId="0">
      <selection sqref="A1:O1"/>
    </sheetView>
  </sheetViews>
  <sheetFormatPr defaultRowHeight="15.75" x14ac:dyDescent="0.25"/>
  <cols>
    <col min="1" max="1" width="5.5" style="324" customWidth="1"/>
    <col min="2" max="2" width="28.83203125" style="323" customWidth="1"/>
    <col min="3" max="14" width="11.33203125" style="323" customWidth="1"/>
    <col min="15" max="15" width="11.33203125" style="324" customWidth="1"/>
    <col min="16" max="17" width="9.33203125" style="323"/>
    <col min="18" max="18" width="13.33203125" style="323" bestFit="1" customWidth="1"/>
    <col min="19" max="256" width="9.33203125" style="323"/>
    <col min="257" max="257" width="5.5" style="323" customWidth="1"/>
    <col min="258" max="258" width="28.83203125" style="323" customWidth="1"/>
    <col min="259" max="271" width="11.33203125" style="323" customWidth="1"/>
    <col min="272" max="512" width="9.33203125" style="323"/>
    <col min="513" max="513" width="5.5" style="323" customWidth="1"/>
    <col min="514" max="514" width="28.83203125" style="323" customWidth="1"/>
    <col min="515" max="527" width="11.33203125" style="323" customWidth="1"/>
    <col min="528" max="768" width="9.33203125" style="323"/>
    <col min="769" max="769" width="5.5" style="323" customWidth="1"/>
    <col min="770" max="770" width="28.83203125" style="323" customWidth="1"/>
    <col min="771" max="783" width="11.33203125" style="323" customWidth="1"/>
    <col min="784" max="1024" width="9.33203125" style="323"/>
    <col min="1025" max="1025" width="5.5" style="323" customWidth="1"/>
    <col min="1026" max="1026" width="28.83203125" style="323" customWidth="1"/>
    <col min="1027" max="1039" width="11.33203125" style="323" customWidth="1"/>
    <col min="1040" max="1280" width="9.33203125" style="323"/>
    <col min="1281" max="1281" width="5.5" style="323" customWidth="1"/>
    <col min="1282" max="1282" width="28.83203125" style="323" customWidth="1"/>
    <col min="1283" max="1295" width="11.33203125" style="323" customWidth="1"/>
    <col min="1296" max="1536" width="9.33203125" style="323"/>
    <col min="1537" max="1537" width="5.5" style="323" customWidth="1"/>
    <col min="1538" max="1538" width="28.83203125" style="323" customWidth="1"/>
    <col min="1539" max="1551" width="11.33203125" style="323" customWidth="1"/>
    <col min="1552" max="1792" width="9.33203125" style="323"/>
    <col min="1793" max="1793" width="5.5" style="323" customWidth="1"/>
    <col min="1794" max="1794" width="28.83203125" style="323" customWidth="1"/>
    <col min="1795" max="1807" width="11.33203125" style="323" customWidth="1"/>
    <col min="1808" max="2048" width="9.33203125" style="323"/>
    <col min="2049" max="2049" width="5.5" style="323" customWidth="1"/>
    <col min="2050" max="2050" width="28.83203125" style="323" customWidth="1"/>
    <col min="2051" max="2063" width="11.33203125" style="323" customWidth="1"/>
    <col min="2064" max="2304" width="9.33203125" style="323"/>
    <col min="2305" max="2305" width="5.5" style="323" customWidth="1"/>
    <col min="2306" max="2306" width="28.83203125" style="323" customWidth="1"/>
    <col min="2307" max="2319" width="11.33203125" style="323" customWidth="1"/>
    <col min="2320" max="2560" width="9.33203125" style="323"/>
    <col min="2561" max="2561" width="5.5" style="323" customWidth="1"/>
    <col min="2562" max="2562" width="28.83203125" style="323" customWidth="1"/>
    <col min="2563" max="2575" width="11.33203125" style="323" customWidth="1"/>
    <col min="2576" max="2816" width="9.33203125" style="323"/>
    <col min="2817" max="2817" width="5.5" style="323" customWidth="1"/>
    <col min="2818" max="2818" width="28.83203125" style="323" customWidth="1"/>
    <col min="2819" max="2831" width="11.33203125" style="323" customWidth="1"/>
    <col min="2832" max="3072" width="9.33203125" style="323"/>
    <col min="3073" max="3073" width="5.5" style="323" customWidth="1"/>
    <col min="3074" max="3074" width="28.83203125" style="323" customWidth="1"/>
    <col min="3075" max="3087" width="11.33203125" style="323" customWidth="1"/>
    <col min="3088" max="3328" width="9.33203125" style="323"/>
    <col min="3329" max="3329" width="5.5" style="323" customWidth="1"/>
    <col min="3330" max="3330" width="28.83203125" style="323" customWidth="1"/>
    <col min="3331" max="3343" width="11.33203125" style="323" customWidth="1"/>
    <col min="3344" max="3584" width="9.33203125" style="323"/>
    <col min="3585" max="3585" width="5.5" style="323" customWidth="1"/>
    <col min="3586" max="3586" width="28.83203125" style="323" customWidth="1"/>
    <col min="3587" max="3599" width="11.33203125" style="323" customWidth="1"/>
    <col min="3600" max="3840" width="9.33203125" style="323"/>
    <col min="3841" max="3841" width="5.5" style="323" customWidth="1"/>
    <col min="3842" max="3842" width="28.83203125" style="323" customWidth="1"/>
    <col min="3843" max="3855" width="11.33203125" style="323" customWidth="1"/>
    <col min="3856" max="4096" width="9.33203125" style="323"/>
    <col min="4097" max="4097" width="5.5" style="323" customWidth="1"/>
    <col min="4098" max="4098" width="28.83203125" style="323" customWidth="1"/>
    <col min="4099" max="4111" width="11.33203125" style="323" customWidth="1"/>
    <col min="4112" max="4352" width="9.33203125" style="323"/>
    <col min="4353" max="4353" width="5.5" style="323" customWidth="1"/>
    <col min="4354" max="4354" width="28.83203125" style="323" customWidth="1"/>
    <col min="4355" max="4367" width="11.33203125" style="323" customWidth="1"/>
    <col min="4368" max="4608" width="9.33203125" style="323"/>
    <col min="4609" max="4609" width="5.5" style="323" customWidth="1"/>
    <col min="4610" max="4610" width="28.83203125" style="323" customWidth="1"/>
    <col min="4611" max="4623" width="11.33203125" style="323" customWidth="1"/>
    <col min="4624" max="4864" width="9.33203125" style="323"/>
    <col min="4865" max="4865" width="5.5" style="323" customWidth="1"/>
    <col min="4866" max="4866" width="28.83203125" style="323" customWidth="1"/>
    <col min="4867" max="4879" width="11.33203125" style="323" customWidth="1"/>
    <col min="4880" max="5120" width="9.33203125" style="323"/>
    <col min="5121" max="5121" width="5.5" style="323" customWidth="1"/>
    <col min="5122" max="5122" width="28.83203125" style="323" customWidth="1"/>
    <col min="5123" max="5135" width="11.33203125" style="323" customWidth="1"/>
    <col min="5136" max="5376" width="9.33203125" style="323"/>
    <col min="5377" max="5377" width="5.5" style="323" customWidth="1"/>
    <col min="5378" max="5378" width="28.83203125" style="323" customWidth="1"/>
    <col min="5379" max="5391" width="11.33203125" style="323" customWidth="1"/>
    <col min="5392" max="5632" width="9.33203125" style="323"/>
    <col min="5633" max="5633" width="5.5" style="323" customWidth="1"/>
    <col min="5634" max="5634" width="28.83203125" style="323" customWidth="1"/>
    <col min="5635" max="5647" width="11.33203125" style="323" customWidth="1"/>
    <col min="5648" max="5888" width="9.33203125" style="323"/>
    <col min="5889" max="5889" width="5.5" style="323" customWidth="1"/>
    <col min="5890" max="5890" width="28.83203125" style="323" customWidth="1"/>
    <col min="5891" max="5903" width="11.33203125" style="323" customWidth="1"/>
    <col min="5904" max="6144" width="9.33203125" style="323"/>
    <col min="6145" max="6145" width="5.5" style="323" customWidth="1"/>
    <col min="6146" max="6146" width="28.83203125" style="323" customWidth="1"/>
    <col min="6147" max="6159" width="11.33203125" style="323" customWidth="1"/>
    <col min="6160" max="6400" width="9.33203125" style="323"/>
    <col min="6401" max="6401" width="5.5" style="323" customWidth="1"/>
    <col min="6402" max="6402" width="28.83203125" style="323" customWidth="1"/>
    <col min="6403" max="6415" width="11.33203125" style="323" customWidth="1"/>
    <col min="6416" max="6656" width="9.33203125" style="323"/>
    <col min="6657" max="6657" width="5.5" style="323" customWidth="1"/>
    <col min="6658" max="6658" width="28.83203125" style="323" customWidth="1"/>
    <col min="6659" max="6671" width="11.33203125" style="323" customWidth="1"/>
    <col min="6672" max="6912" width="9.33203125" style="323"/>
    <col min="6913" max="6913" width="5.5" style="323" customWidth="1"/>
    <col min="6914" max="6914" width="28.83203125" style="323" customWidth="1"/>
    <col min="6915" max="6927" width="11.33203125" style="323" customWidth="1"/>
    <col min="6928" max="7168" width="9.33203125" style="323"/>
    <col min="7169" max="7169" width="5.5" style="323" customWidth="1"/>
    <col min="7170" max="7170" width="28.83203125" style="323" customWidth="1"/>
    <col min="7171" max="7183" width="11.33203125" style="323" customWidth="1"/>
    <col min="7184" max="7424" width="9.33203125" style="323"/>
    <col min="7425" max="7425" width="5.5" style="323" customWidth="1"/>
    <col min="7426" max="7426" width="28.83203125" style="323" customWidth="1"/>
    <col min="7427" max="7439" width="11.33203125" style="323" customWidth="1"/>
    <col min="7440" max="7680" width="9.33203125" style="323"/>
    <col min="7681" max="7681" width="5.5" style="323" customWidth="1"/>
    <col min="7682" max="7682" width="28.83203125" style="323" customWidth="1"/>
    <col min="7683" max="7695" width="11.33203125" style="323" customWidth="1"/>
    <col min="7696" max="7936" width="9.33203125" style="323"/>
    <col min="7937" max="7937" width="5.5" style="323" customWidth="1"/>
    <col min="7938" max="7938" width="28.83203125" style="323" customWidth="1"/>
    <col min="7939" max="7951" width="11.33203125" style="323" customWidth="1"/>
    <col min="7952" max="8192" width="9.33203125" style="323"/>
    <col min="8193" max="8193" width="5.5" style="323" customWidth="1"/>
    <col min="8194" max="8194" width="28.83203125" style="323" customWidth="1"/>
    <col min="8195" max="8207" width="11.33203125" style="323" customWidth="1"/>
    <col min="8208" max="8448" width="9.33203125" style="323"/>
    <col min="8449" max="8449" width="5.5" style="323" customWidth="1"/>
    <col min="8450" max="8450" width="28.83203125" style="323" customWidth="1"/>
    <col min="8451" max="8463" width="11.33203125" style="323" customWidth="1"/>
    <col min="8464" max="8704" width="9.33203125" style="323"/>
    <col min="8705" max="8705" width="5.5" style="323" customWidth="1"/>
    <col min="8706" max="8706" width="28.83203125" style="323" customWidth="1"/>
    <col min="8707" max="8719" width="11.33203125" style="323" customWidth="1"/>
    <col min="8720" max="8960" width="9.33203125" style="323"/>
    <col min="8961" max="8961" width="5.5" style="323" customWidth="1"/>
    <col min="8962" max="8962" width="28.83203125" style="323" customWidth="1"/>
    <col min="8963" max="8975" width="11.33203125" style="323" customWidth="1"/>
    <col min="8976" max="9216" width="9.33203125" style="323"/>
    <col min="9217" max="9217" width="5.5" style="323" customWidth="1"/>
    <col min="9218" max="9218" width="28.83203125" style="323" customWidth="1"/>
    <col min="9219" max="9231" width="11.33203125" style="323" customWidth="1"/>
    <col min="9232" max="9472" width="9.33203125" style="323"/>
    <col min="9473" max="9473" width="5.5" style="323" customWidth="1"/>
    <col min="9474" max="9474" width="28.83203125" style="323" customWidth="1"/>
    <col min="9475" max="9487" width="11.33203125" style="323" customWidth="1"/>
    <col min="9488" max="9728" width="9.33203125" style="323"/>
    <col min="9729" max="9729" width="5.5" style="323" customWidth="1"/>
    <col min="9730" max="9730" width="28.83203125" style="323" customWidth="1"/>
    <col min="9731" max="9743" width="11.33203125" style="323" customWidth="1"/>
    <col min="9744" max="9984" width="9.33203125" style="323"/>
    <col min="9985" max="9985" width="5.5" style="323" customWidth="1"/>
    <col min="9986" max="9986" width="28.83203125" style="323" customWidth="1"/>
    <col min="9987" max="9999" width="11.33203125" style="323" customWidth="1"/>
    <col min="10000" max="10240" width="9.33203125" style="323"/>
    <col min="10241" max="10241" width="5.5" style="323" customWidth="1"/>
    <col min="10242" max="10242" width="28.83203125" style="323" customWidth="1"/>
    <col min="10243" max="10255" width="11.33203125" style="323" customWidth="1"/>
    <col min="10256" max="10496" width="9.33203125" style="323"/>
    <col min="10497" max="10497" width="5.5" style="323" customWidth="1"/>
    <col min="10498" max="10498" width="28.83203125" style="323" customWidth="1"/>
    <col min="10499" max="10511" width="11.33203125" style="323" customWidth="1"/>
    <col min="10512" max="10752" width="9.33203125" style="323"/>
    <col min="10753" max="10753" width="5.5" style="323" customWidth="1"/>
    <col min="10754" max="10754" width="28.83203125" style="323" customWidth="1"/>
    <col min="10755" max="10767" width="11.33203125" style="323" customWidth="1"/>
    <col min="10768" max="11008" width="9.33203125" style="323"/>
    <col min="11009" max="11009" width="5.5" style="323" customWidth="1"/>
    <col min="11010" max="11010" width="28.83203125" style="323" customWidth="1"/>
    <col min="11011" max="11023" width="11.33203125" style="323" customWidth="1"/>
    <col min="11024" max="11264" width="9.33203125" style="323"/>
    <col min="11265" max="11265" width="5.5" style="323" customWidth="1"/>
    <col min="11266" max="11266" width="28.83203125" style="323" customWidth="1"/>
    <col min="11267" max="11279" width="11.33203125" style="323" customWidth="1"/>
    <col min="11280" max="11520" width="9.33203125" style="323"/>
    <col min="11521" max="11521" width="5.5" style="323" customWidth="1"/>
    <col min="11522" max="11522" width="28.83203125" style="323" customWidth="1"/>
    <col min="11523" max="11535" width="11.33203125" style="323" customWidth="1"/>
    <col min="11536" max="11776" width="9.33203125" style="323"/>
    <col min="11777" max="11777" width="5.5" style="323" customWidth="1"/>
    <col min="11778" max="11778" width="28.83203125" style="323" customWidth="1"/>
    <col min="11779" max="11791" width="11.33203125" style="323" customWidth="1"/>
    <col min="11792" max="12032" width="9.33203125" style="323"/>
    <col min="12033" max="12033" width="5.5" style="323" customWidth="1"/>
    <col min="12034" max="12034" width="28.83203125" style="323" customWidth="1"/>
    <col min="12035" max="12047" width="11.33203125" style="323" customWidth="1"/>
    <col min="12048" max="12288" width="9.33203125" style="323"/>
    <col min="12289" max="12289" width="5.5" style="323" customWidth="1"/>
    <col min="12290" max="12290" width="28.83203125" style="323" customWidth="1"/>
    <col min="12291" max="12303" width="11.33203125" style="323" customWidth="1"/>
    <col min="12304" max="12544" width="9.33203125" style="323"/>
    <col min="12545" max="12545" width="5.5" style="323" customWidth="1"/>
    <col min="12546" max="12546" width="28.83203125" style="323" customWidth="1"/>
    <col min="12547" max="12559" width="11.33203125" style="323" customWidth="1"/>
    <col min="12560" max="12800" width="9.33203125" style="323"/>
    <col min="12801" max="12801" width="5.5" style="323" customWidth="1"/>
    <col min="12802" max="12802" width="28.83203125" style="323" customWidth="1"/>
    <col min="12803" max="12815" width="11.33203125" style="323" customWidth="1"/>
    <col min="12816" max="13056" width="9.33203125" style="323"/>
    <col min="13057" max="13057" width="5.5" style="323" customWidth="1"/>
    <col min="13058" max="13058" width="28.83203125" style="323" customWidth="1"/>
    <col min="13059" max="13071" width="11.33203125" style="323" customWidth="1"/>
    <col min="13072" max="13312" width="9.33203125" style="323"/>
    <col min="13313" max="13313" width="5.5" style="323" customWidth="1"/>
    <col min="13314" max="13314" width="28.83203125" style="323" customWidth="1"/>
    <col min="13315" max="13327" width="11.33203125" style="323" customWidth="1"/>
    <col min="13328" max="13568" width="9.33203125" style="323"/>
    <col min="13569" max="13569" width="5.5" style="323" customWidth="1"/>
    <col min="13570" max="13570" width="28.83203125" style="323" customWidth="1"/>
    <col min="13571" max="13583" width="11.33203125" style="323" customWidth="1"/>
    <col min="13584" max="13824" width="9.33203125" style="323"/>
    <col min="13825" max="13825" width="5.5" style="323" customWidth="1"/>
    <col min="13826" max="13826" width="28.83203125" style="323" customWidth="1"/>
    <col min="13827" max="13839" width="11.33203125" style="323" customWidth="1"/>
    <col min="13840" max="14080" width="9.33203125" style="323"/>
    <col min="14081" max="14081" width="5.5" style="323" customWidth="1"/>
    <col min="14082" max="14082" width="28.83203125" style="323" customWidth="1"/>
    <col min="14083" max="14095" width="11.33203125" style="323" customWidth="1"/>
    <col min="14096" max="14336" width="9.33203125" style="323"/>
    <col min="14337" max="14337" width="5.5" style="323" customWidth="1"/>
    <col min="14338" max="14338" width="28.83203125" style="323" customWidth="1"/>
    <col min="14339" max="14351" width="11.33203125" style="323" customWidth="1"/>
    <col min="14352" max="14592" width="9.33203125" style="323"/>
    <col min="14593" max="14593" width="5.5" style="323" customWidth="1"/>
    <col min="14594" max="14594" width="28.83203125" style="323" customWidth="1"/>
    <col min="14595" max="14607" width="11.33203125" style="323" customWidth="1"/>
    <col min="14608" max="14848" width="9.33203125" style="323"/>
    <col min="14849" max="14849" width="5.5" style="323" customWidth="1"/>
    <col min="14850" max="14850" width="28.83203125" style="323" customWidth="1"/>
    <col min="14851" max="14863" width="11.33203125" style="323" customWidth="1"/>
    <col min="14864" max="15104" width="9.33203125" style="323"/>
    <col min="15105" max="15105" width="5.5" style="323" customWidth="1"/>
    <col min="15106" max="15106" width="28.83203125" style="323" customWidth="1"/>
    <col min="15107" max="15119" width="11.33203125" style="323" customWidth="1"/>
    <col min="15120" max="15360" width="9.33203125" style="323"/>
    <col min="15361" max="15361" width="5.5" style="323" customWidth="1"/>
    <col min="15362" max="15362" width="28.83203125" style="323" customWidth="1"/>
    <col min="15363" max="15375" width="11.33203125" style="323" customWidth="1"/>
    <col min="15376" max="15616" width="9.33203125" style="323"/>
    <col min="15617" max="15617" width="5.5" style="323" customWidth="1"/>
    <col min="15618" max="15618" width="28.83203125" style="323" customWidth="1"/>
    <col min="15619" max="15631" width="11.33203125" style="323" customWidth="1"/>
    <col min="15632" max="15872" width="9.33203125" style="323"/>
    <col min="15873" max="15873" width="5.5" style="323" customWidth="1"/>
    <col min="15874" max="15874" width="28.83203125" style="323" customWidth="1"/>
    <col min="15875" max="15887" width="11.33203125" style="323" customWidth="1"/>
    <col min="15888" max="16128" width="9.33203125" style="323"/>
    <col min="16129" max="16129" width="5.5" style="323" customWidth="1"/>
    <col min="16130" max="16130" width="28.83203125" style="323" customWidth="1"/>
    <col min="16131" max="16143" width="11.33203125" style="323" customWidth="1"/>
    <col min="16144" max="16384" width="9.33203125" style="323"/>
  </cols>
  <sheetData>
    <row r="1" spans="1:15" ht="45.75" customHeight="1" x14ac:dyDescent="0.25">
      <c r="A1" s="1176" t="s">
        <v>744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</row>
    <row r="2" spans="1:15" ht="12" customHeight="1" x14ac:dyDescent="0.25">
      <c r="N2" s="325"/>
      <c r="O2" s="326" t="s">
        <v>371</v>
      </c>
    </row>
    <row r="3" spans="1:15" s="324" customFormat="1" ht="31.5" customHeight="1" x14ac:dyDescent="0.25">
      <c r="A3" s="327" t="s">
        <v>365</v>
      </c>
      <c r="B3" s="328" t="s">
        <v>262</v>
      </c>
      <c r="C3" s="328" t="s">
        <v>468</v>
      </c>
      <c r="D3" s="328" t="s">
        <v>469</v>
      </c>
      <c r="E3" s="328" t="s">
        <v>470</v>
      </c>
      <c r="F3" s="328" t="s">
        <v>471</v>
      </c>
      <c r="G3" s="328" t="s">
        <v>472</v>
      </c>
      <c r="H3" s="328" t="s">
        <v>473</v>
      </c>
      <c r="I3" s="328" t="s">
        <v>474</v>
      </c>
      <c r="J3" s="328" t="s">
        <v>475</v>
      </c>
      <c r="K3" s="328" t="s">
        <v>476</v>
      </c>
      <c r="L3" s="328" t="s">
        <v>477</v>
      </c>
      <c r="M3" s="328" t="s">
        <v>478</v>
      </c>
      <c r="N3" s="328" t="s">
        <v>479</v>
      </c>
      <c r="O3" s="329" t="s">
        <v>480</v>
      </c>
    </row>
    <row r="4" spans="1:15" s="331" customFormat="1" ht="21" customHeight="1" x14ac:dyDescent="0.2">
      <c r="A4" s="330" t="s">
        <v>9</v>
      </c>
      <c r="B4" s="1178" t="s">
        <v>260</v>
      </c>
      <c r="C4" s="1178"/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  <c r="O4" s="1179"/>
    </row>
    <row r="5" spans="1:15" s="336" customFormat="1" ht="21" customHeight="1" x14ac:dyDescent="0.2">
      <c r="A5" s="332" t="s">
        <v>12</v>
      </c>
      <c r="B5" s="333" t="s">
        <v>481</v>
      </c>
      <c r="C5" s="334" t="e">
        <f>#REF!/12</f>
        <v>#REF!</v>
      </c>
      <c r="D5" s="334" t="e">
        <f>C5</f>
        <v>#REF!</v>
      </c>
      <c r="E5" s="334" t="e">
        <f t="shared" ref="E5:N5" si="0">D5</f>
        <v>#REF!</v>
      </c>
      <c r="F5" s="334" t="e">
        <f t="shared" si="0"/>
        <v>#REF!</v>
      </c>
      <c r="G5" s="334" t="e">
        <f t="shared" si="0"/>
        <v>#REF!</v>
      </c>
      <c r="H5" s="334" t="e">
        <f t="shared" si="0"/>
        <v>#REF!</v>
      </c>
      <c r="I5" s="334" t="e">
        <f t="shared" si="0"/>
        <v>#REF!</v>
      </c>
      <c r="J5" s="334" t="e">
        <f t="shared" si="0"/>
        <v>#REF!</v>
      </c>
      <c r="K5" s="334" t="e">
        <f t="shared" si="0"/>
        <v>#REF!</v>
      </c>
      <c r="L5" s="334" t="e">
        <f t="shared" si="0"/>
        <v>#REF!</v>
      </c>
      <c r="M5" s="334" t="e">
        <f t="shared" si="0"/>
        <v>#REF!</v>
      </c>
      <c r="N5" s="334" t="e">
        <f t="shared" si="0"/>
        <v>#REF!</v>
      </c>
      <c r="O5" s="335" t="e">
        <f>SUM(C5:N5)</f>
        <v>#REF!</v>
      </c>
    </row>
    <row r="6" spans="1:15" s="336" customFormat="1" ht="21" customHeight="1" x14ac:dyDescent="0.2">
      <c r="A6" s="337" t="s">
        <v>15</v>
      </c>
      <c r="B6" s="338" t="s">
        <v>482</v>
      </c>
      <c r="C6" s="339" t="e">
        <f>#REF!/12</f>
        <v>#REF!</v>
      </c>
      <c r="D6" s="339" t="e">
        <f>C6</f>
        <v>#REF!</v>
      </c>
      <c r="E6" s="339" t="e">
        <f t="shared" ref="E6:N6" si="1">D6</f>
        <v>#REF!</v>
      </c>
      <c r="F6" s="339" t="e">
        <f t="shared" si="1"/>
        <v>#REF!</v>
      </c>
      <c r="G6" s="339" t="e">
        <f t="shared" si="1"/>
        <v>#REF!</v>
      </c>
      <c r="H6" s="339" t="e">
        <f t="shared" si="1"/>
        <v>#REF!</v>
      </c>
      <c r="I6" s="339" t="e">
        <f t="shared" si="1"/>
        <v>#REF!</v>
      </c>
      <c r="J6" s="339" t="e">
        <f t="shared" si="1"/>
        <v>#REF!</v>
      </c>
      <c r="K6" s="339" t="e">
        <f t="shared" si="1"/>
        <v>#REF!</v>
      </c>
      <c r="L6" s="339" t="e">
        <f t="shared" si="1"/>
        <v>#REF!</v>
      </c>
      <c r="M6" s="339" t="e">
        <f t="shared" si="1"/>
        <v>#REF!</v>
      </c>
      <c r="N6" s="339" t="e">
        <f t="shared" si="1"/>
        <v>#REF!</v>
      </c>
      <c r="O6" s="340" t="e">
        <f>SUM(C6:N6)</f>
        <v>#REF!</v>
      </c>
    </row>
    <row r="7" spans="1:15" s="336" customFormat="1" ht="21" customHeight="1" x14ac:dyDescent="0.2">
      <c r="A7" s="337" t="s">
        <v>18</v>
      </c>
      <c r="B7" s="341" t="s">
        <v>404</v>
      </c>
      <c r="C7" s="339" t="e">
        <f>(#REF!+#REF!)/12</f>
        <v>#REF!</v>
      </c>
      <c r="D7" s="339" t="e">
        <f>C7</f>
        <v>#REF!</v>
      </c>
      <c r="E7" s="339" t="e">
        <f t="shared" ref="E7:N7" si="2">D7</f>
        <v>#REF!</v>
      </c>
      <c r="F7" s="339" t="e">
        <f t="shared" si="2"/>
        <v>#REF!</v>
      </c>
      <c r="G7" s="339" t="e">
        <f t="shared" si="2"/>
        <v>#REF!</v>
      </c>
      <c r="H7" s="339" t="e">
        <f t="shared" si="2"/>
        <v>#REF!</v>
      </c>
      <c r="I7" s="339" t="e">
        <f t="shared" si="2"/>
        <v>#REF!</v>
      </c>
      <c r="J7" s="339" t="e">
        <f t="shared" si="2"/>
        <v>#REF!</v>
      </c>
      <c r="K7" s="339" t="e">
        <f t="shared" si="2"/>
        <v>#REF!</v>
      </c>
      <c r="L7" s="339" t="e">
        <f t="shared" si="2"/>
        <v>#REF!</v>
      </c>
      <c r="M7" s="339" t="e">
        <f t="shared" si="2"/>
        <v>#REF!</v>
      </c>
      <c r="N7" s="339" t="e">
        <f t="shared" si="2"/>
        <v>#REF!</v>
      </c>
      <c r="O7" s="340" t="e">
        <f t="shared" ref="O7:O11" si="3">SUM(C7:N7)</f>
        <v>#REF!</v>
      </c>
    </row>
    <row r="8" spans="1:15" s="336" customFormat="1" ht="21" customHeight="1" x14ac:dyDescent="0.2">
      <c r="A8" s="337" t="s">
        <v>21</v>
      </c>
      <c r="B8" s="341" t="s">
        <v>405</v>
      </c>
      <c r="C8" s="339">
        <v>50000</v>
      </c>
      <c r="D8" s="339">
        <v>50000</v>
      </c>
      <c r="E8" s="339">
        <v>50000</v>
      </c>
      <c r="F8" s="339">
        <v>50000</v>
      </c>
      <c r="G8" s="339">
        <v>50000</v>
      </c>
      <c r="H8" s="339">
        <v>50000</v>
      </c>
      <c r="I8" s="339">
        <v>50000</v>
      </c>
      <c r="J8" s="339">
        <v>50000</v>
      </c>
      <c r="K8" s="339">
        <v>50000</v>
      </c>
      <c r="L8" s="339">
        <v>50000</v>
      </c>
      <c r="M8" s="339">
        <v>50000</v>
      </c>
      <c r="N8" s="339">
        <v>50000</v>
      </c>
      <c r="O8" s="340">
        <f t="shared" si="3"/>
        <v>600000</v>
      </c>
    </row>
    <row r="9" spans="1:15" s="336" customFormat="1" ht="21" customHeight="1" x14ac:dyDescent="0.2">
      <c r="A9" s="337" t="s">
        <v>24</v>
      </c>
      <c r="B9" s="341" t="s">
        <v>483</v>
      </c>
      <c r="C9" s="339">
        <v>500000</v>
      </c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40">
        <f t="shared" si="3"/>
        <v>500000</v>
      </c>
    </row>
    <row r="10" spans="1:15" s="336" customFormat="1" ht="21" customHeight="1" x14ac:dyDescent="0.2">
      <c r="A10" s="337" t="s">
        <v>27</v>
      </c>
      <c r="B10" s="341" t="s">
        <v>484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40">
        <f t="shared" si="3"/>
        <v>0</v>
      </c>
    </row>
    <row r="11" spans="1:15" s="336" customFormat="1" ht="21" customHeight="1" x14ac:dyDescent="0.2">
      <c r="A11" s="342" t="s">
        <v>30</v>
      </c>
      <c r="B11" s="343" t="s">
        <v>485</v>
      </c>
      <c r="C11" s="344" t="e">
        <f>#REF!</f>
        <v>#REF!</v>
      </c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0" t="e">
        <f t="shared" si="3"/>
        <v>#REF!</v>
      </c>
    </row>
    <row r="12" spans="1:15" s="331" customFormat="1" ht="21" customHeight="1" x14ac:dyDescent="0.2">
      <c r="A12" s="345" t="s">
        <v>33</v>
      </c>
      <c r="B12" s="346" t="s">
        <v>486</v>
      </c>
      <c r="C12" s="347" t="e">
        <f t="shared" ref="C12:N12" si="4">SUM(C5:C11)</f>
        <v>#REF!</v>
      </c>
      <c r="D12" s="347" t="e">
        <f t="shared" si="4"/>
        <v>#REF!</v>
      </c>
      <c r="E12" s="347" t="e">
        <f t="shared" si="4"/>
        <v>#REF!</v>
      </c>
      <c r="F12" s="347" t="e">
        <f t="shared" si="4"/>
        <v>#REF!</v>
      </c>
      <c r="G12" s="347" t="e">
        <f t="shared" si="4"/>
        <v>#REF!</v>
      </c>
      <c r="H12" s="347" t="e">
        <f t="shared" si="4"/>
        <v>#REF!</v>
      </c>
      <c r="I12" s="347" t="e">
        <f t="shared" si="4"/>
        <v>#REF!</v>
      </c>
      <c r="J12" s="347" t="e">
        <f t="shared" si="4"/>
        <v>#REF!</v>
      </c>
      <c r="K12" s="347" t="e">
        <f t="shared" si="4"/>
        <v>#REF!</v>
      </c>
      <c r="L12" s="347" t="e">
        <f t="shared" si="4"/>
        <v>#REF!</v>
      </c>
      <c r="M12" s="347" t="e">
        <f t="shared" si="4"/>
        <v>#REF!</v>
      </c>
      <c r="N12" s="347" t="e">
        <f t="shared" si="4"/>
        <v>#REF!</v>
      </c>
      <c r="O12" s="348" t="e">
        <f t="shared" ref="O12" si="5">SUM(C12:N12)</f>
        <v>#REF!</v>
      </c>
    </row>
    <row r="13" spans="1:15" s="331" customFormat="1" ht="21" customHeight="1" x14ac:dyDescent="0.2">
      <c r="A13" s="330" t="s">
        <v>36</v>
      </c>
      <c r="B13" s="1178" t="s">
        <v>261</v>
      </c>
      <c r="C13" s="1178"/>
      <c r="D13" s="1178"/>
      <c r="E13" s="1178"/>
      <c r="F13" s="1178"/>
      <c r="G13" s="1178"/>
      <c r="H13" s="1178"/>
      <c r="I13" s="1178"/>
      <c r="J13" s="1178"/>
      <c r="K13" s="1178"/>
      <c r="L13" s="1178"/>
      <c r="M13" s="1178"/>
      <c r="N13" s="1178"/>
      <c r="O13" s="1179"/>
    </row>
    <row r="14" spans="1:15" s="336" customFormat="1" ht="21" customHeight="1" x14ac:dyDescent="0.2">
      <c r="A14" s="332" t="s">
        <v>38</v>
      </c>
      <c r="B14" s="333" t="s">
        <v>412</v>
      </c>
      <c r="C14" s="334" t="e">
        <f>#REF!/12</f>
        <v>#REF!</v>
      </c>
      <c r="D14" s="334" t="e">
        <f>C14</f>
        <v>#REF!</v>
      </c>
      <c r="E14" s="334" t="e">
        <f t="shared" ref="E14:N14" si="6">D14</f>
        <v>#REF!</v>
      </c>
      <c r="F14" s="334" t="e">
        <f t="shared" si="6"/>
        <v>#REF!</v>
      </c>
      <c r="G14" s="334" t="e">
        <f t="shared" si="6"/>
        <v>#REF!</v>
      </c>
      <c r="H14" s="334" t="e">
        <f t="shared" si="6"/>
        <v>#REF!</v>
      </c>
      <c r="I14" s="334" t="e">
        <f t="shared" si="6"/>
        <v>#REF!</v>
      </c>
      <c r="J14" s="334" t="e">
        <f t="shared" si="6"/>
        <v>#REF!</v>
      </c>
      <c r="K14" s="334" t="e">
        <f t="shared" si="6"/>
        <v>#REF!</v>
      </c>
      <c r="L14" s="334" t="e">
        <f t="shared" si="6"/>
        <v>#REF!</v>
      </c>
      <c r="M14" s="334" t="e">
        <f t="shared" si="6"/>
        <v>#REF!</v>
      </c>
      <c r="N14" s="334" t="e">
        <f t="shared" si="6"/>
        <v>#REF!</v>
      </c>
      <c r="O14" s="335" t="e">
        <f>SUM(C14:N14)</f>
        <v>#REF!</v>
      </c>
    </row>
    <row r="15" spans="1:15" s="336" customFormat="1" ht="24" customHeight="1" x14ac:dyDescent="0.2">
      <c r="A15" s="337" t="s">
        <v>40</v>
      </c>
      <c r="B15" s="338" t="s">
        <v>201</v>
      </c>
      <c r="C15" s="339" t="e">
        <f>#REF!/12</f>
        <v>#REF!</v>
      </c>
      <c r="D15" s="339" t="e">
        <f t="shared" ref="D15:N19" si="7">C15</f>
        <v>#REF!</v>
      </c>
      <c r="E15" s="339" t="e">
        <f t="shared" si="7"/>
        <v>#REF!</v>
      </c>
      <c r="F15" s="339" t="e">
        <f t="shared" si="7"/>
        <v>#REF!</v>
      </c>
      <c r="G15" s="339" t="e">
        <f t="shared" si="7"/>
        <v>#REF!</v>
      </c>
      <c r="H15" s="339" t="e">
        <f t="shared" si="7"/>
        <v>#REF!</v>
      </c>
      <c r="I15" s="339" t="e">
        <f t="shared" si="7"/>
        <v>#REF!</v>
      </c>
      <c r="J15" s="339" t="e">
        <f t="shared" si="7"/>
        <v>#REF!</v>
      </c>
      <c r="K15" s="339" t="e">
        <f t="shared" si="7"/>
        <v>#REF!</v>
      </c>
      <c r="L15" s="339" t="e">
        <f t="shared" si="7"/>
        <v>#REF!</v>
      </c>
      <c r="M15" s="339" t="e">
        <f t="shared" si="7"/>
        <v>#REF!</v>
      </c>
      <c r="N15" s="339" t="e">
        <f t="shared" si="7"/>
        <v>#REF!</v>
      </c>
      <c r="O15" s="340" t="e">
        <f t="shared" ref="O15:O22" si="8">SUM(C15:N15)</f>
        <v>#REF!</v>
      </c>
    </row>
    <row r="16" spans="1:15" s="336" customFormat="1" ht="21" customHeight="1" x14ac:dyDescent="0.2">
      <c r="A16" s="337" t="s">
        <v>42</v>
      </c>
      <c r="B16" s="341" t="s">
        <v>203</v>
      </c>
      <c r="C16" s="339" t="e">
        <f>#REF!/12</f>
        <v>#REF!</v>
      </c>
      <c r="D16" s="339" t="e">
        <f t="shared" si="7"/>
        <v>#REF!</v>
      </c>
      <c r="E16" s="339" t="e">
        <f t="shared" si="7"/>
        <v>#REF!</v>
      </c>
      <c r="F16" s="339" t="e">
        <f t="shared" si="7"/>
        <v>#REF!</v>
      </c>
      <c r="G16" s="339" t="e">
        <f t="shared" si="7"/>
        <v>#REF!</v>
      </c>
      <c r="H16" s="339" t="e">
        <f t="shared" si="7"/>
        <v>#REF!</v>
      </c>
      <c r="I16" s="339" t="e">
        <f t="shared" si="7"/>
        <v>#REF!</v>
      </c>
      <c r="J16" s="339" t="e">
        <f t="shared" si="7"/>
        <v>#REF!</v>
      </c>
      <c r="K16" s="339" t="e">
        <f t="shared" si="7"/>
        <v>#REF!</v>
      </c>
      <c r="L16" s="339" t="e">
        <f t="shared" si="7"/>
        <v>#REF!</v>
      </c>
      <c r="M16" s="339" t="e">
        <f t="shared" si="7"/>
        <v>#REF!</v>
      </c>
      <c r="N16" s="339" t="e">
        <f t="shared" si="7"/>
        <v>#REF!</v>
      </c>
      <c r="O16" s="340" t="e">
        <f t="shared" si="8"/>
        <v>#REF!</v>
      </c>
    </row>
    <row r="17" spans="1:15" s="336" customFormat="1" ht="21" customHeight="1" x14ac:dyDescent="0.2">
      <c r="A17" s="337" t="s">
        <v>44</v>
      </c>
      <c r="B17" s="341" t="s">
        <v>205</v>
      </c>
      <c r="C17" s="339" t="e">
        <f>#REF!/12</f>
        <v>#REF!</v>
      </c>
      <c r="D17" s="339" t="e">
        <f t="shared" si="7"/>
        <v>#REF!</v>
      </c>
      <c r="E17" s="339" t="e">
        <f t="shared" si="7"/>
        <v>#REF!</v>
      </c>
      <c r="F17" s="339" t="e">
        <f t="shared" si="7"/>
        <v>#REF!</v>
      </c>
      <c r="G17" s="339" t="e">
        <f t="shared" si="7"/>
        <v>#REF!</v>
      </c>
      <c r="H17" s="339" t="e">
        <f t="shared" si="7"/>
        <v>#REF!</v>
      </c>
      <c r="I17" s="339" t="e">
        <f t="shared" si="7"/>
        <v>#REF!</v>
      </c>
      <c r="J17" s="339" t="e">
        <f t="shared" si="7"/>
        <v>#REF!</v>
      </c>
      <c r="K17" s="339" t="e">
        <f t="shared" si="7"/>
        <v>#REF!</v>
      </c>
      <c r="L17" s="339" t="e">
        <f t="shared" si="7"/>
        <v>#REF!</v>
      </c>
      <c r="M17" s="339" t="e">
        <f t="shared" si="7"/>
        <v>#REF!</v>
      </c>
      <c r="N17" s="339" t="e">
        <f t="shared" si="7"/>
        <v>#REF!</v>
      </c>
      <c r="O17" s="340" t="e">
        <f t="shared" si="8"/>
        <v>#REF!</v>
      </c>
    </row>
    <row r="18" spans="1:15" s="336" customFormat="1" ht="21" customHeight="1" x14ac:dyDescent="0.2">
      <c r="A18" s="337" t="s">
        <v>46</v>
      </c>
      <c r="B18" s="341" t="s">
        <v>207</v>
      </c>
      <c r="C18" s="339" t="e">
        <f>#REF!/12</f>
        <v>#REF!</v>
      </c>
      <c r="D18" s="339" t="e">
        <f>C18</f>
        <v>#REF!</v>
      </c>
      <c r="E18" s="339" t="e">
        <f t="shared" si="7"/>
        <v>#REF!</v>
      </c>
      <c r="F18" s="339" t="e">
        <f t="shared" si="7"/>
        <v>#REF!</v>
      </c>
      <c r="G18" s="339" t="e">
        <f>F18+5492702</f>
        <v>#REF!</v>
      </c>
      <c r="H18" s="339" t="e">
        <f>F18</f>
        <v>#REF!</v>
      </c>
      <c r="I18" s="339" t="e">
        <f t="shared" si="7"/>
        <v>#REF!</v>
      </c>
      <c r="J18" s="339" t="e">
        <f t="shared" si="7"/>
        <v>#REF!</v>
      </c>
      <c r="K18" s="339" t="e">
        <f t="shared" si="7"/>
        <v>#REF!</v>
      </c>
      <c r="L18" s="339" t="e">
        <f t="shared" si="7"/>
        <v>#REF!</v>
      </c>
      <c r="M18" s="339" t="e">
        <f t="shared" si="7"/>
        <v>#REF!</v>
      </c>
      <c r="N18" s="339" t="e">
        <f t="shared" si="7"/>
        <v>#REF!</v>
      </c>
      <c r="O18" s="340" t="e">
        <f t="shared" si="8"/>
        <v>#REF!</v>
      </c>
    </row>
    <row r="19" spans="1:15" s="336" customFormat="1" ht="21" customHeight="1" x14ac:dyDescent="0.2">
      <c r="A19" s="337" t="s">
        <v>48</v>
      </c>
      <c r="B19" s="341" t="s">
        <v>226</v>
      </c>
      <c r="C19" s="339" t="e">
        <f>#REF!/12</f>
        <v>#REF!</v>
      </c>
      <c r="D19" s="339" t="e">
        <f>C19</f>
        <v>#REF!</v>
      </c>
      <c r="E19" s="339" t="e">
        <f t="shared" si="7"/>
        <v>#REF!</v>
      </c>
      <c r="F19" s="339" t="e">
        <f t="shared" si="7"/>
        <v>#REF!</v>
      </c>
      <c r="G19" s="339" t="e">
        <f>F19</f>
        <v>#REF!</v>
      </c>
      <c r="H19" s="339" t="e">
        <f>F19</f>
        <v>#REF!</v>
      </c>
      <c r="I19" s="339" t="e">
        <f t="shared" si="7"/>
        <v>#REF!</v>
      </c>
      <c r="J19" s="339" t="e">
        <f t="shared" si="7"/>
        <v>#REF!</v>
      </c>
      <c r="K19" s="339" t="e">
        <f t="shared" si="7"/>
        <v>#REF!</v>
      </c>
      <c r="L19" s="339" t="e">
        <f t="shared" si="7"/>
        <v>#REF!</v>
      </c>
      <c r="M19" s="339" t="e">
        <f t="shared" si="7"/>
        <v>#REF!</v>
      </c>
      <c r="N19" s="339" t="e">
        <f t="shared" si="7"/>
        <v>#REF!</v>
      </c>
      <c r="O19" s="340" t="e">
        <f>SUM(C19:N19)</f>
        <v>#REF!</v>
      </c>
    </row>
    <row r="20" spans="1:15" s="336" customFormat="1" ht="21" customHeight="1" x14ac:dyDescent="0.2">
      <c r="A20" s="337" t="s">
        <v>50</v>
      </c>
      <c r="B20" s="338" t="s">
        <v>228</v>
      </c>
      <c r="C20" s="339" t="e">
        <f>#REF!/12</f>
        <v>#REF!</v>
      </c>
      <c r="D20" s="339" t="e">
        <f>C20</f>
        <v>#REF!</v>
      </c>
      <c r="E20" s="339" t="e">
        <f t="shared" ref="E20:M20" si="9">D20</f>
        <v>#REF!</v>
      </c>
      <c r="F20" s="339" t="e">
        <f t="shared" si="9"/>
        <v>#REF!</v>
      </c>
      <c r="G20" s="339" t="e">
        <f t="shared" si="9"/>
        <v>#REF!</v>
      </c>
      <c r="H20" s="339" t="e">
        <f t="shared" si="9"/>
        <v>#REF!</v>
      </c>
      <c r="I20" s="339" t="e">
        <f t="shared" si="9"/>
        <v>#REF!</v>
      </c>
      <c r="J20" s="339" t="e">
        <f t="shared" si="9"/>
        <v>#REF!</v>
      </c>
      <c r="K20" s="339" t="e">
        <f t="shared" si="9"/>
        <v>#REF!</v>
      </c>
      <c r="L20" s="339" t="e">
        <f t="shared" si="9"/>
        <v>#REF!</v>
      </c>
      <c r="M20" s="339" t="e">
        <f t="shared" si="9"/>
        <v>#REF!</v>
      </c>
      <c r="N20" s="339" t="e">
        <f>M20</f>
        <v>#REF!</v>
      </c>
      <c r="O20" s="340" t="e">
        <f t="shared" si="8"/>
        <v>#REF!</v>
      </c>
    </row>
    <row r="21" spans="1:15" s="336" customFormat="1" ht="21" customHeight="1" x14ac:dyDescent="0.2">
      <c r="A21" s="337" t="s">
        <v>53</v>
      </c>
      <c r="B21" s="341" t="s">
        <v>230</v>
      </c>
      <c r="C21" s="339"/>
      <c r="D21" s="339"/>
      <c r="E21" s="339"/>
      <c r="F21" s="339"/>
      <c r="G21" s="339">
        <v>565000</v>
      </c>
      <c r="H21" s="339"/>
      <c r="I21" s="339"/>
      <c r="J21" s="339"/>
      <c r="K21" s="339"/>
      <c r="L21" s="339"/>
      <c r="M21" s="339"/>
      <c r="N21" s="339"/>
      <c r="O21" s="340">
        <f t="shared" si="8"/>
        <v>565000</v>
      </c>
    </row>
    <row r="22" spans="1:15" s="336" customFormat="1" ht="21" customHeight="1" x14ac:dyDescent="0.2">
      <c r="A22" s="349" t="s">
        <v>63</v>
      </c>
      <c r="B22" s="350" t="s">
        <v>415</v>
      </c>
      <c r="C22" s="339" t="e">
        <f>#REF!</f>
        <v>#REF!</v>
      </c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2" t="e">
        <f t="shared" si="8"/>
        <v>#REF!</v>
      </c>
    </row>
    <row r="23" spans="1:15" s="331" customFormat="1" ht="21" customHeight="1" x14ac:dyDescent="0.2">
      <c r="A23" s="353" t="s">
        <v>65</v>
      </c>
      <c r="B23" s="346" t="s">
        <v>392</v>
      </c>
      <c r="C23" s="347" t="e">
        <f t="shared" ref="C23:N23" si="10">SUM(C14:C22)</f>
        <v>#REF!</v>
      </c>
      <c r="D23" s="347" t="e">
        <f t="shared" si="10"/>
        <v>#REF!</v>
      </c>
      <c r="E23" s="347" t="e">
        <f t="shared" si="10"/>
        <v>#REF!</v>
      </c>
      <c r="F23" s="347" t="e">
        <f t="shared" si="10"/>
        <v>#REF!</v>
      </c>
      <c r="G23" s="347" t="e">
        <f t="shared" si="10"/>
        <v>#REF!</v>
      </c>
      <c r="H23" s="347" t="e">
        <f t="shared" si="10"/>
        <v>#REF!</v>
      </c>
      <c r="I23" s="347" t="e">
        <f t="shared" si="10"/>
        <v>#REF!</v>
      </c>
      <c r="J23" s="347" t="e">
        <f t="shared" si="10"/>
        <v>#REF!</v>
      </c>
      <c r="K23" s="347" t="e">
        <f t="shared" si="10"/>
        <v>#REF!</v>
      </c>
      <c r="L23" s="347" t="e">
        <f t="shared" si="10"/>
        <v>#REF!</v>
      </c>
      <c r="M23" s="347" t="e">
        <f t="shared" si="10"/>
        <v>#REF!</v>
      </c>
      <c r="N23" s="347" t="e">
        <f t="shared" si="10"/>
        <v>#REF!</v>
      </c>
      <c r="O23" s="348" t="e">
        <f t="shared" ref="O23" si="11">SUM(C23:N23)</f>
        <v>#REF!</v>
      </c>
    </row>
    <row r="24" spans="1:15" ht="21" customHeight="1" x14ac:dyDescent="0.25">
      <c r="A24" s="354" t="s">
        <v>67</v>
      </c>
      <c r="B24" s="355" t="s">
        <v>487</v>
      </c>
      <c r="C24" s="356" t="e">
        <f t="shared" ref="C24:M24" si="12">C12-C23</f>
        <v>#REF!</v>
      </c>
      <c r="D24" s="356" t="e">
        <f t="shared" si="12"/>
        <v>#REF!</v>
      </c>
      <c r="E24" s="356" t="e">
        <f t="shared" si="12"/>
        <v>#REF!</v>
      </c>
      <c r="F24" s="356" t="e">
        <f t="shared" si="12"/>
        <v>#REF!</v>
      </c>
      <c r="G24" s="356" t="e">
        <f t="shared" si="12"/>
        <v>#REF!</v>
      </c>
      <c r="H24" s="356" t="e">
        <f t="shared" si="12"/>
        <v>#REF!</v>
      </c>
      <c r="I24" s="356" t="e">
        <f t="shared" si="12"/>
        <v>#REF!</v>
      </c>
      <c r="J24" s="356" t="e">
        <f t="shared" si="12"/>
        <v>#REF!</v>
      </c>
      <c r="K24" s="356" t="e">
        <f>K12-K23-1</f>
        <v>#REF!</v>
      </c>
      <c r="L24" s="356" t="e">
        <f t="shared" si="12"/>
        <v>#REF!</v>
      </c>
      <c r="M24" s="356" t="e">
        <f t="shared" si="12"/>
        <v>#REF!</v>
      </c>
      <c r="N24" s="356" t="e">
        <f>N12-N23</f>
        <v>#REF!</v>
      </c>
      <c r="O24" s="357" t="e">
        <f>SUM(C24:N24)</f>
        <v>#REF!</v>
      </c>
    </row>
    <row r="25" spans="1:15" x14ac:dyDescent="0.25">
      <c r="A25" s="358"/>
    </row>
    <row r="26" spans="1:15" x14ac:dyDescent="0.25">
      <c r="B26" s="359"/>
      <c r="C26" s="360"/>
      <c r="D26" s="360"/>
    </row>
  </sheetData>
  <sheetProtection algorithmName="SHA-512" hashValue="QF0J+qGjvLDZJaYx0QIqQXkKZ2OPdUxm9r/qSe2clyemgHP6OlGRoweKDxzUGgcsB8eihvOq3b7jO2oLi5efiA==" saltValue="ACCNEKyocLvFIifgnV+MdQ==" spinCount="100000" sheet="1" objects="1" scenarios="1" selectLockedCells="1" selectUnlockedCells="1"/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13. melléklet a ....../2018. (......)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8"/>
  <sheetViews>
    <sheetView view="pageBreakPreview" zoomScale="60" zoomScaleNormal="100" workbookViewId="0">
      <selection sqref="A1:K1"/>
    </sheetView>
  </sheetViews>
  <sheetFormatPr defaultRowHeight="12.75" x14ac:dyDescent="0.2"/>
  <cols>
    <col min="1" max="1" width="5.83203125" style="400" customWidth="1"/>
    <col min="2" max="2" width="15.33203125" style="248" customWidth="1"/>
    <col min="3" max="4" width="9.5" style="248" customWidth="1"/>
    <col min="5" max="5" width="22.1640625" style="248" customWidth="1"/>
    <col min="6" max="7" width="9.33203125" style="248"/>
    <col min="8" max="8" width="23.5" style="248" customWidth="1"/>
    <col min="9" max="9" width="23.6640625" style="248" customWidth="1"/>
    <col min="10" max="10" width="9.33203125" style="248"/>
    <col min="11" max="11" width="13.5" style="248" customWidth="1"/>
    <col min="12" max="256" width="9.33203125" style="248"/>
    <col min="257" max="257" width="5.83203125" style="248" customWidth="1"/>
    <col min="258" max="258" width="54.83203125" style="248" customWidth="1"/>
    <col min="259" max="260" width="17.6640625" style="248" customWidth="1"/>
    <col min="261" max="512" width="9.33203125" style="248"/>
    <col min="513" max="513" width="5.83203125" style="248" customWidth="1"/>
    <col min="514" max="514" width="54.83203125" style="248" customWidth="1"/>
    <col min="515" max="516" width="17.6640625" style="248" customWidth="1"/>
    <col min="517" max="768" width="9.33203125" style="248"/>
    <col min="769" max="769" width="5.83203125" style="248" customWidth="1"/>
    <col min="770" max="770" width="54.83203125" style="248" customWidth="1"/>
    <col min="771" max="772" width="17.6640625" style="248" customWidth="1"/>
    <col min="773" max="1024" width="9.33203125" style="248"/>
    <col min="1025" max="1025" width="5.83203125" style="248" customWidth="1"/>
    <col min="1026" max="1026" width="54.83203125" style="248" customWidth="1"/>
    <col min="1027" max="1028" width="17.6640625" style="248" customWidth="1"/>
    <col min="1029" max="1280" width="9.33203125" style="248"/>
    <col min="1281" max="1281" width="5.83203125" style="248" customWidth="1"/>
    <col min="1282" max="1282" width="54.83203125" style="248" customWidth="1"/>
    <col min="1283" max="1284" width="17.6640625" style="248" customWidth="1"/>
    <col min="1285" max="1536" width="9.33203125" style="248"/>
    <col min="1537" max="1537" width="5.83203125" style="248" customWidth="1"/>
    <col min="1538" max="1538" width="54.83203125" style="248" customWidth="1"/>
    <col min="1539" max="1540" width="17.6640625" style="248" customWidth="1"/>
    <col min="1541" max="1792" width="9.33203125" style="248"/>
    <col min="1793" max="1793" width="5.83203125" style="248" customWidth="1"/>
    <col min="1794" max="1794" width="54.83203125" style="248" customWidth="1"/>
    <col min="1795" max="1796" width="17.6640625" style="248" customWidth="1"/>
    <col min="1797" max="2048" width="9.33203125" style="248"/>
    <col min="2049" max="2049" width="5.83203125" style="248" customWidth="1"/>
    <col min="2050" max="2050" width="54.83203125" style="248" customWidth="1"/>
    <col min="2051" max="2052" width="17.6640625" style="248" customWidth="1"/>
    <col min="2053" max="2304" width="9.33203125" style="248"/>
    <col min="2305" max="2305" width="5.83203125" style="248" customWidth="1"/>
    <col min="2306" max="2306" width="54.83203125" style="248" customWidth="1"/>
    <col min="2307" max="2308" width="17.6640625" style="248" customWidth="1"/>
    <col min="2309" max="2560" width="9.33203125" style="248"/>
    <col min="2561" max="2561" width="5.83203125" style="248" customWidth="1"/>
    <col min="2562" max="2562" width="54.83203125" style="248" customWidth="1"/>
    <col min="2563" max="2564" width="17.6640625" style="248" customWidth="1"/>
    <col min="2565" max="2816" width="9.33203125" style="248"/>
    <col min="2817" max="2817" width="5.83203125" style="248" customWidth="1"/>
    <col min="2818" max="2818" width="54.83203125" style="248" customWidth="1"/>
    <col min="2819" max="2820" width="17.6640625" style="248" customWidth="1"/>
    <col min="2821" max="3072" width="9.33203125" style="248"/>
    <col min="3073" max="3073" width="5.83203125" style="248" customWidth="1"/>
    <col min="3074" max="3074" width="54.83203125" style="248" customWidth="1"/>
    <col min="3075" max="3076" width="17.6640625" style="248" customWidth="1"/>
    <col min="3077" max="3328" width="9.33203125" style="248"/>
    <col min="3329" max="3329" width="5.83203125" style="248" customWidth="1"/>
    <col min="3330" max="3330" width="54.83203125" style="248" customWidth="1"/>
    <col min="3331" max="3332" width="17.6640625" style="248" customWidth="1"/>
    <col min="3333" max="3584" width="9.33203125" style="248"/>
    <col min="3585" max="3585" width="5.83203125" style="248" customWidth="1"/>
    <col min="3586" max="3586" width="54.83203125" style="248" customWidth="1"/>
    <col min="3587" max="3588" width="17.6640625" style="248" customWidth="1"/>
    <col min="3589" max="3840" width="9.33203125" style="248"/>
    <col min="3841" max="3841" width="5.83203125" style="248" customWidth="1"/>
    <col min="3842" max="3842" width="54.83203125" style="248" customWidth="1"/>
    <col min="3843" max="3844" width="17.6640625" style="248" customWidth="1"/>
    <col min="3845" max="4096" width="9.33203125" style="248"/>
    <col min="4097" max="4097" width="5.83203125" style="248" customWidth="1"/>
    <col min="4098" max="4098" width="54.83203125" style="248" customWidth="1"/>
    <col min="4099" max="4100" width="17.6640625" style="248" customWidth="1"/>
    <col min="4101" max="4352" width="9.33203125" style="248"/>
    <col min="4353" max="4353" width="5.83203125" style="248" customWidth="1"/>
    <col min="4354" max="4354" width="54.83203125" style="248" customWidth="1"/>
    <col min="4355" max="4356" width="17.6640625" style="248" customWidth="1"/>
    <col min="4357" max="4608" width="9.33203125" style="248"/>
    <col min="4609" max="4609" width="5.83203125" style="248" customWidth="1"/>
    <col min="4610" max="4610" width="54.83203125" style="248" customWidth="1"/>
    <col min="4611" max="4612" width="17.6640625" style="248" customWidth="1"/>
    <col min="4613" max="4864" width="9.33203125" style="248"/>
    <col min="4865" max="4865" width="5.83203125" style="248" customWidth="1"/>
    <col min="4866" max="4866" width="54.83203125" style="248" customWidth="1"/>
    <col min="4867" max="4868" width="17.6640625" style="248" customWidth="1"/>
    <col min="4869" max="5120" width="9.33203125" style="248"/>
    <col min="5121" max="5121" width="5.83203125" style="248" customWidth="1"/>
    <col min="5122" max="5122" width="54.83203125" style="248" customWidth="1"/>
    <col min="5123" max="5124" width="17.6640625" style="248" customWidth="1"/>
    <col min="5125" max="5376" width="9.33203125" style="248"/>
    <col min="5377" max="5377" width="5.83203125" style="248" customWidth="1"/>
    <col min="5378" max="5378" width="54.83203125" style="248" customWidth="1"/>
    <col min="5379" max="5380" width="17.6640625" style="248" customWidth="1"/>
    <col min="5381" max="5632" width="9.33203125" style="248"/>
    <col min="5633" max="5633" width="5.83203125" style="248" customWidth="1"/>
    <col min="5634" max="5634" width="54.83203125" style="248" customWidth="1"/>
    <col min="5635" max="5636" width="17.6640625" style="248" customWidth="1"/>
    <col min="5637" max="5888" width="9.33203125" style="248"/>
    <col min="5889" max="5889" width="5.83203125" style="248" customWidth="1"/>
    <col min="5890" max="5890" width="54.83203125" style="248" customWidth="1"/>
    <col min="5891" max="5892" width="17.6640625" style="248" customWidth="1"/>
    <col min="5893" max="6144" width="9.33203125" style="248"/>
    <col min="6145" max="6145" width="5.83203125" style="248" customWidth="1"/>
    <col min="6146" max="6146" width="54.83203125" style="248" customWidth="1"/>
    <col min="6147" max="6148" width="17.6640625" style="248" customWidth="1"/>
    <col min="6149" max="6400" width="9.33203125" style="248"/>
    <col min="6401" max="6401" width="5.83203125" style="248" customWidth="1"/>
    <col min="6402" max="6402" width="54.83203125" style="248" customWidth="1"/>
    <col min="6403" max="6404" width="17.6640625" style="248" customWidth="1"/>
    <col min="6405" max="6656" width="9.33203125" style="248"/>
    <col min="6657" max="6657" width="5.83203125" style="248" customWidth="1"/>
    <col min="6658" max="6658" width="54.83203125" style="248" customWidth="1"/>
    <col min="6659" max="6660" width="17.6640625" style="248" customWidth="1"/>
    <col min="6661" max="6912" width="9.33203125" style="248"/>
    <col min="6913" max="6913" width="5.83203125" style="248" customWidth="1"/>
    <col min="6914" max="6914" width="54.83203125" style="248" customWidth="1"/>
    <col min="6915" max="6916" width="17.6640625" style="248" customWidth="1"/>
    <col min="6917" max="7168" width="9.33203125" style="248"/>
    <col min="7169" max="7169" width="5.83203125" style="248" customWidth="1"/>
    <col min="7170" max="7170" width="54.83203125" style="248" customWidth="1"/>
    <col min="7171" max="7172" width="17.6640625" style="248" customWidth="1"/>
    <col min="7173" max="7424" width="9.33203125" style="248"/>
    <col min="7425" max="7425" width="5.83203125" style="248" customWidth="1"/>
    <col min="7426" max="7426" width="54.83203125" style="248" customWidth="1"/>
    <col min="7427" max="7428" width="17.6640625" style="248" customWidth="1"/>
    <col min="7429" max="7680" width="9.33203125" style="248"/>
    <col min="7681" max="7681" width="5.83203125" style="248" customWidth="1"/>
    <col min="7682" max="7682" width="54.83203125" style="248" customWidth="1"/>
    <col min="7683" max="7684" width="17.6640625" style="248" customWidth="1"/>
    <col min="7685" max="7936" width="9.33203125" style="248"/>
    <col min="7937" max="7937" width="5.83203125" style="248" customWidth="1"/>
    <col min="7938" max="7938" width="54.83203125" style="248" customWidth="1"/>
    <col min="7939" max="7940" width="17.6640625" style="248" customWidth="1"/>
    <col min="7941" max="8192" width="9.33203125" style="248"/>
    <col min="8193" max="8193" width="5.83203125" style="248" customWidth="1"/>
    <col min="8194" max="8194" width="54.83203125" style="248" customWidth="1"/>
    <col min="8195" max="8196" width="17.6640625" style="248" customWidth="1"/>
    <col min="8197" max="8448" width="9.33203125" style="248"/>
    <col min="8449" max="8449" width="5.83203125" style="248" customWidth="1"/>
    <col min="8450" max="8450" width="54.83203125" style="248" customWidth="1"/>
    <col min="8451" max="8452" width="17.6640625" style="248" customWidth="1"/>
    <col min="8453" max="8704" width="9.33203125" style="248"/>
    <col min="8705" max="8705" width="5.83203125" style="248" customWidth="1"/>
    <col min="8706" max="8706" width="54.83203125" style="248" customWidth="1"/>
    <col min="8707" max="8708" width="17.6640625" style="248" customWidth="1"/>
    <col min="8709" max="8960" width="9.33203125" style="248"/>
    <col min="8961" max="8961" width="5.83203125" style="248" customWidth="1"/>
    <col min="8962" max="8962" width="54.83203125" style="248" customWidth="1"/>
    <col min="8963" max="8964" width="17.6640625" style="248" customWidth="1"/>
    <col min="8965" max="9216" width="9.33203125" style="248"/>
    <col min="9217" max="9217" width="5.83203125" style="248" customWidth="1"/>
    <col min="9218" max="9218" width="54.83203125" style="248" customWidth="1"/>
    <col min="9219" max="9220" width="17.6640625" style="248" customWidth="1"/>
    <col min="9221" max="9472" width="9.33203125" style="248"/>
    <col min="9473" max="9473" width="5.83203125" style="248" customWidth="1"/>
    <col min="9474" max="9474" width="54.83203125" style="248" customWidth="1"/>
    <col min="9475" max="9476" width="17.6640625" style="248" customWidth="1"/>
    <col min="9477" max="9728" width="9.33203125" style="248"/>
    <col min="9729" max="9729" width="5.83203125" style="248" customWidth="1"/>
    <col min="9730" max="9730" width="54.83203125" style="248" customWidth="1"/>
    <col min="9731" max="9732" width="17.6640625" style="248" customWidth="1"/>
    <col min="9733" max="9984" width="9.33203125" style="248"/>
    <col min="9985" max="9985" width="5.83203125" style="248" customWidth="1"/>
    <col min="9986" max="9986" width="54.83203125" style="248" customWidth="1"/>
    <col min="9987" max="9988" width="17.6640625" style="248" customWidth="1"/>
    <col min="9989" max="10240" width="9.33203125" style="248"/>
    <col min="10241" max="10241" width="5.83203125" style="248" customWidth="1"/>
    <col min="10242" max="10242" width="54.83203125" style="248" customWidth="1"/>
    <col min="10243" max="10244" width="17.6640625" style="248" customWidth="1"/>
    <col min="10245" max="10496" width="9.33203125" style="248"/>
    <col min="10497" max="10497" width="5.83203125" style="248" customWidth="1"/>
    <col min="10498" max="10498" width="54.83203125" style="248" customWidth="1"/>
    <col min="10499" max="10500" width="17.6640625" style="248" customWidth="1"/>
    <col min="10501" max="10752" width="9.33203125" style="248"/>
    <col min="10753" max="10753" width="5.83203125" style="248" customWidth="1"/>
    <col min="10754" max="10754" width="54.83203125" style="248" customWidth="1"/>
    <col min="10755" max="10756" width="17.6640625" style="248" customWidth="1"/>
    <col min="10757" max="11008" width="9.33203125" style="248"/>
    <col min="11009" max="11009" width="5.83203125" style="248" customWidth="1"/>
    <col min="11010" max="11010" width="54.83203125" style="248" customWidth="1"/>
    <col min="11011" max="11012" width="17.6640625" style="248" customWidth="1"/>
    <col min="11013" max="11264" width="9.33203125" style="248"/>
    <col min="11265" max="11265" width="5.83203125" style="248" customWidth="1"/>
    <col min="11266" max="11266" width="54.83203125" style="248" customWidth="1"/>
    <col min="11267" max="11268" width="17.6640625" style="248" customWidth="1"/>
    <col min="11269" max="11520" width="9.33203125" style="248"/>
    <col min="11521" max="11521" width="5.83203125" style="248" customWidth="1"/>
    <col min="11522" max="11522" width="54.83203125" style="248" customWidth="1"/>
    <col min="11523" max="11524" width="17.6640625" style="248" customWidth="1"/>
    <col min="11525" max="11776" width="9.33203125" style="248"/>
    <col min="11777" max="11777" width="5.83203125" style="248" customWidth="1"/>
    <col min="11778" max="11778" width="54.83203125" style="248" customWidth="1"/>
    <col min="11779" max="11780" width="17.6640625" style="248" customWidth="1"/>
    <col min="11781" max="12032" width="9.33203125" style="248"/>
    <col min="12033" max="12033" width="5.83203125" style="248" customWidth="1"/>
    <col min="12034" max="12034" width="54.83203125" style="248" customWidth="1"/>
    <col min="12035" max="12036" width="17.6640625" style="248" customWidth="1"/>
    <col min="12037" max="12288" width="9.33203125" style="248"/>
    <col min="12289" max="12289" width="5.83203125" style="248" customWidth="1"/>
    <col min="12290" max="12290" width="54.83203125" style="248" customWidth="1"/>
    <col min="12291" max="12292" width="17.6640625" style="248" customWidth="1"/>
    <col min="12293" max="12544" width="9.33203125" style="248"/>
    <col min="12545" max="12545" width="5.83203125" style="248" customWidth="1"/>
    <col min="12546" max="12546" width="54.83203125" style="248" customWidth="1"/>
    <col min="12547" max="12548" width="17.6640625" style="248" customWidth="1"/>
    <col min="12549" max="12800" width="9.33203125" style="248"/>
    <col min="12801" max="12801" width="5.83203125" style="248" customWidth="1"/>
    <col min="12802" max="12802" width="54.83203125" style="248" customWidth="1"/>
    <col min="12803" max="12804" width="17.6640625" style="248" customWidth="1"/>
    <col min="12805" max="13056" width="9.33203125" style="248"/>
    <col min="13057" max="13057" width="5.83203125" style="248" customWidth="1"/>
    <col min="13058" max="13058" width="54.83203125" style="248" customWidth="1"/>
    <col min="13059" max="13060" width="17.6640625" style="248" customWidth="1"/>
    <col min="13061" max="13312" width="9.33203125" style="248"/>
    <col min="13313" max="13313" width="5.83203125" style="248" customWidth="1"/>
    <col min="13314" max="13314" width="54.83203125" style="248" customWidth="1"/>
    <col min="13315" max="13316" width="17.6640625" style="248" customWidth="1"/>
    <col min="13317" max="13568" width="9.33203125" style="248"/>
    <col min="13569" max="13569" width="5.83203125" style="248" customWidth="1"/>
    <col min="13570" max="13570" width="54.83203125" style="248" customWidth="1"/>
    <col min="13571" max="13572" width="17.6640625" style="248" customWidth="1"/>
    <col min="13573" max="13824" width="9.33203125" style="248"/>
    <col min="13825" max="13825" width="5.83203125" style="248" customWidth="1"/>
    <col min="13826" max="13826" width="54.83203125" style="248" customWidth="1"/>
    <col min="13827" max="13828" width="17.6640625" style="248" customWidth="1"/>
    <col min="13829" max="14080" width="9.33203125" style="248"/>
    <col min="14081" max="14081" width="5.83203125" style="248" customWidth="1"/>
    <col min="14082" max="14082" width="54.83203125" style="248" customWidth="1"/>
    <col min="14083" max="14084" width="17.6640625" style="248" customWidth="1"/>
    <col min="14085" max="14336" width="9.33203125" style="248"/>
    <col min="14337" max="14337" width="5.83203125" style="248" customWidth="1"/>
    <col min="14338" max="14338" width="54.83203125" style="248" customWidth="1"/>
    <col min="14339" max="14340" width="17.6640625" style="248" customWidth="1"/>
    <col min="14341" max="14592" width="9.33203125" style="248"/>
    <col min="14593" max="14593" width="5.83203125" style="248" customWidth="1"/>
    <col min="14594" max="14594" width="54.83203125" style="248" customWidth="1"/>
    <col min="14595" max="14596" width="17.6640625" style="248" customWidth="1"/>
    <col min="14597" max="14848" width="9.33203125" style="248"/>
    <col min="14849" max="14849" width="5.83203125" style="248" customWidth="1"/>
    <col min="14850" max="14850" width="54.83203125" style="248" customWidth="1"/>
    <col min="14851" max="14852" width="17.6640625" style="248" customWidth="1"/>
    <col min="14853" max="15104" width="9.33203125" style="248"/>
    <col min="15105" max="15105" width="5.83203125" style="248" customWidth="1"/>
    <col min="15106" max="15106" width="54.83203125" style="248" customWidth="1"/>
    <col min="15107" max="15108" width="17.6640625" style="248" customWidth="1"/>
    <col min="15109" max="15360" width="9.33203125" style="248"/>
    <col min="15361" max="15361" width="5.83203125" style="248" customWidth="1"/>
    <col min="15362" max="15362" width="54.83203125" style="248" customWidth="1"/>
    <col min="15363" max="15364" width="17.6640625" style="248" customWidth="1"/>
    <col min="15365" max="15616" width="9.33203125" style="248"/>
    <col min="15617" max="15617" width="5.83203125" style="248" customWidth="1"/>
    <col min="15618" max="15618" width="54.83203125" style="248" customWidth="1"/>
    <col min="15619" max="15620" width="17.6640625" style="248" customWidth="1"/>
    <col min="15621" max="15872" width="9.33203125" style="248"/>
    <col min="15873" max="15873" width="5.83203125" style="248" customWidth="1"/>
    <col min="15874" max="15874" width="54.83203125" style="248" customWidth="1"/>
    <col min="15875" max="15876" width="17.6640625" style="248" customWidth="1"/>
    <col min="15877" max="16128" width="9.33203125" style="248"/>
    <col min="16129" max="16129" width="5.83203125" style="248" customWidth="1"/>
    <col min="16130" max="16130" width="54.83203125" style="248" customWidth="1"/>
    <col min="16131" max="16132" width="17.6640625" style="248" customWidth="1"/>
    <col min="16133" max="16384" width="9.33203125" style="248"/>
  </cols>
  <sheetData>
    <row r="1" spans="1:11" ht="44.25" customHeight="1" x14ac:dyDescent="0.2">
      <c r="A1" s="1180" t="s">
        <v>745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1" x14ac:dyDescent="0.2">
      <c r="A2" s="528"/>
      <c r="B2" s="528"/>
      <c r="C2" s="528"/>
      <c r="D2" s="528"/>
      <c r="E2" s="528"/>
      <c r="F2" s="528"/>
      <c r="G2" s="528"/>
      <c r="H2" s="528"/>
      <c r="I2" s="528"/>
      <c r="J2" s="1181" t="s">
        <v>1</v>
      </c>
      <c r="K2" s="1181"/>
    </row>
    <row r="3" spans="1:11" ht="27" customHeight="1" x14ac:dyDescent="0.2">
      <c r="A3" s="1182" t="s">
        <v>365</v>
      </c>
      <c r="B3" s="1184" t="s">
        <v>567</v>
      </c>
      <c r="C3" s="1184"/>
      <c r="D3" s="1184"/>
      <c r="E3" s="1184" t="s">
        <v>568</v>
      </c>
      <c r="F3" s="1184"/>
      <c r="G3" s="1184"/>
      <c r="H3" s="1184" t="s">
        <v>569</v>
      </c>
      <c r="I3" s="1184"/>
      <c r="J3" s="1184"/>
      <c r="K3" s="1185" t="s">
        <v>366</v>
      </c>
    </row>
    <row r="4" spans="1:11" ht="25.5" x14ac:dyDescent="0.2">
      <c r="A4" s="1183"/>
      <c r="B4" s="529" t="s">
        <v>570</v>
      </c>
      <c r="C4" s="529" t="s">
        <v>571</v>
      </c>
      <c r="D4" s="529" t="s">
        <v>572</v>
      </c>
      <c r="E4" s="529" t="s">
        <v>570</v>
      </c>
      <c r="F4" s="529" t="s">
        <v>571</v>
      </c>
      <c r="G4" s="529" t="s">
        <v>572</v>
      </c>
      <c r="H4" s="529" t="s">
        <v>570</v>
      </c>
      <c r="I4" s="529" t="s">
        <v>571</v>
      </c>
      <c r="J4" s="529" t="s">
        <v>572</v>
      </c>
      <c r="K4" s="1186"/>
    </row>
    <row r="5" spans="1:11" ht="33.75" customHeight="1" x14ac:dyDescent="0.2">
      <c r="A5" s="530" t="s">
        <v>9</v>
      </c>
      <c r="B5" s="531" t="s">
        <v>573</v>
      </c>
      <c r="C5" s="531"/>
      <c r="D5" s="531"/>
      <c r="E5" s="532" t="s">
        <v>574</v>
      </c>
      <c r="F5" s="533" t="s">
        <v>575</v>
      </c>
      <c r="G5" s="534"/>
      <c r="H5" s="532" t="s">
        <v>576</v>
      </c>
      <c r="I5" s="535" t="s">
        <v>577</v>
      </c>
      <c r="J5" s="534"/>
      <c r="K5" s="536">
        <f>SUM(J5,G5)</f>
        <v>0</v>
      </c>
    </row>
    <row r="6" spans="1:11" ht="33.75" customHeight="1" x14ac:dyDescent="0.2">
      <c r="A6" s="991" t="s">
        <v>12</v>
      </c>
      <c r="B6" s="992" t="s">
        <v>578</v>
      </c>
      <c r="C6" s="993"/>
      <c r="D6" s="993"/>
      <c r="E6" s="537"/>
      <c r="F6" s="538">
        <v>50</v>
      </c>
      <c r="G6" s="539"/>
      <c r="H6" s="540" t="s">
        <v>882</v>
      </c>
      <c r="I6" s="540"/>
      <c r="J6" s="541">
        <v>2500</v>
      </c>
      <c r="K6" s="1030">
        <f>SUM(G6:J6)</f>
        <v>2500</v>
      </c>
    </row>
    <row r="7" spans="1:11" ht="36.75" customHeight="1" x14ac:dyDescent="0.2">
      <c r="A7" s="542" t="s">
        <v>15</v>
      </c>
      <c r="B7" s="543" t="s">
        <v>579</v>
      </c>
      <c r="C7" s="544"/>
      <c r="D7" s="544"/>
      <c r="E7" s="545"/>
      <c r="F7" s="546">
        <v>25</v>
      </c>
      <c r="G7" s="547"/>
      <c r="H7" s="545" t="s">
        <v>580</v>
      </c>
      <c r="I7" s="548" t="s">
        <v>581</v>
      </c>
      <c r="J7" s="547"/>
      <c r="K7" s="549">
        <f>SUM(G7+J7)</f>
        <v>0</v>
      </c>
    </row>
    <row r="8" spans="1:11" ht="27" customHeight="1" x14ac:dyDescent="0.2">
      <c r="A8" s="550"/>
      <c r="B8" s="551" t="s">
        <v>480</v>
      </c>
      <c r="C8" s="551"/>
      <c r="D8" s="551"/>
      <c r="E8" s="551"/>
      <c r="F8" s="551"/>
      <c r="G8" s="552">
        <f>SUM(G5:G7)</f>
        <v>0</v>
      </c>
      <c r="H8" s="553"/>
      <c r="I8" s="553"/>
      <c r="J8" s="552">
        <f>SUM(J5:J7)</f>
        <v>2500</v>
      </c>
      <c r="K8" s="554">
        <f>SUM(K5:K7)</f>
        <v>2500</v>
      </c>
    </row>
  </sheetData>
  <sheetProtection algorithmName="SHA-512" hashValue="pOL7+/Ylx69dQbAvFS/BFpfriWNc2F0lPzxv6av3A1CjNZOoK8dlKkZgSvsLJDc0p3HBpGhmcSDFs9zCLuscpg==" saltValue="b5NaYoeRt2QzgfgFdXOXHA==" spinCount="100000" sheet="1" objects="1" scenarios="1" selectLockedCells="1" selectUnlockedCells="1"/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14. melléklet a ……/2018. (……)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11"/>
  <sheetViews>
    <sheetView view="pageBreakPreview" zoomScale="60" zoomScaleNormal="100" workbookViewId="0">
      <selection activeCell="L5" sqref="L5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995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87" t="s">
        <v>746</v>
      </c>
      <c r="B1" s="1188"/>
      <c r="C1" s="1188"/>
      <c r="D1" s="1188"/>
      <c r="E1" s="1188"/>
      <c r="F1" s="1188"/>
      <c r="G1" s="1188"/>
      <c r="H1" s="1188"/>
      <c r="I1" s="1188"/>
      <c r="J1" s="1188"/>
    </row>
    <row r="2" spans="1:10" ht="12.75" customHeight="1" x14ac:dyDescent="0.2">
      <c r="A2" s="434"/>
      <c r="B2" s="435"/>
      <c r="C2" s="435"/>
      <c r="D2" s="435"/>
      <c r="E2" s="435"/>
      <c r="F2" s="435"/>
      <c r="G2" s="435"/>
      <c r="H2" s="435"/>
      <c r="I2" s="435"/>
      <c r="J2" s="436" t="s">
        <v>521</v>
      </c>
    </row>
    <row r="3" spans="1:10" ht="57" customHeight="1" x14ac:dyDescent="0.2">
      <c r="A3" s="597" t="s">
        <v>365</v>
      </c>
      <c r="B3" s="598" t="s">
        <v>522</v>
      </c>
      <c r="C3" s="598" t="s">
        <v>893</v>
      </c>
      <c r="D3" s="598" t="s">
        <v>526</v>
      </c>
      <c r="E3" s="598" t="s">
        <v>523</v>
      </c>
      <c r="F3" s="598" t="s">
        <v>524</v>
      </c>
      <c r="G3" s="598" t="s">
        <v>525</v>
      </c>
      <c r="H3" s="598" t="s">
        <v>855</v>
      </c>
      <c r="I3" s="598" t="s">
        <v>527</v>
      </c>
      <c r="J3" s="599" t="s">
        <v>366</v>
      </c>
    </row>
    <row r="4" spans="1:10" ht="48" customHeight="1" x14ac:dyDescent="0.2">
      <c r="A4" s="590" t="s">
        <v>9</v>
      </c>
      <c r="B4" s="591" t="s">
        <v>718</v>
      </c>
      <c r="C4" s="591"/>
      <c r="D4" s="600">
        <v>8</v>
      </c>
      <c r="E4" s="600"/>
      <c r="F4" s="600"/>
      <c r="G4" s="600"/>
      <c r="H4" s="600"/>
      <c r="I4" s="600"/>
      <c r="J4" s="602">
        <f>SUM(D4:I4)</f>
        <v>8</v>
      </c>
    </row>
    <row r="5" spans="1:10" ht="60" x14ac:dyDescent="0.2">
      <c r="A5" s="592" t="s">
        <v>12</v>
      </c>
      <c r="B5" s="593" t="s">
        <v>719</v>
      </c>
      <c r="C5" s="593"/>
      <c r="D5" s="601"/>
      <c r="E5" s="601">
        <v>3</v>
      </c>
      <c r="F5" s="601"/>
      <c r="G5" s="601">
        <v>1</v>
      </c>
      <c r="H5" s="601"/>
      <c r="I5" s="601"/>
      <c r="J5" s="603">
        <f>SUM(D5:I5)</f>
        <v>4</v>
      </c>
    </row>
    <row r="6" spans="1:10" ht="51.75" customHeight="1" x14ac:dyDescent="0.2">
      <c r="A6" s="590" t="s">
        <v>15</v>
      </c>
      <c r="B6" s="594" t="s">
        <v>720</v>
      </c>
      <c r="C6" s="594"/>
      <c r="D6" s="604"/>
      <c r="E6" s="604">
        <v>13</v>
      </c>
      <c r="F6" s="604"/>
      <c r="G6" s="604"/>
      <c r="H6" s="604"/>
      <c r="I6" s="604"/>
      <c r="J6" s="603">
        <f>SUM(D6:I6)</f>
        <v>13</v>
      </c>
    </row>
    <row r="7" spans="1:10" ht="48" customHeight="1" x14ac:dyDescent="0.2">
      <c r="A7" s="592" t="s">
        <v>18</v>
      </c>
      <c r="B7" s="594" t="s">
        <v>854</v>
      </c>
      <c r="C7" s="604" t="s">
        <v>894</v>
      </c>
      <c r="D7" s="604"/>
      <c r="E7" s="605">
        <f>6+3</f>
        <v>9</v>
      </c>
      <c r="F7" s="605"/>
      <c r="G7" s="605">
        <v>3</v>
      </c>
      <c r="H7" s="605">
        <v>103</v>
      </c>
      <c r="I7" s="605"/>
      <c r="J7" s="602">
        <f>SUM(D7:I7)</f>
        <v>115</v>
      </c>
    </row>
    <row r="8" spans="1:10" ht="48" customHeight="1" x14ac:dyDescent="0.25">
      <c r="A8" s="595"/>
      <c r="B8" s="596" t="s">
        <v>366</v>
      </c>
      <c r="C8" s="596"/>
      <c r="D8" s="606">
        <f>SUM(D4:D7)</f>
        <v>8</v>
      </c>
      <c r="E8" s="606">
        <f t="shared" ref="E8:I8" si="0">SUM(E4:E7)</f>
        <v>25</v>
      </c>
      <c r="F8" s="606">
        <f t="shared" si="0"/>
        <v>0</v>
      </c>
      <c r="G8" s="606">
        <f t="shared" si="0"/>
        <v>4</v>
      </c>
      <c r="H8" s="606"/>
      <c r="I8" s="606">
        <f t="shared" si="0"/>
        <v>0</v>
      </c>
      <c r="J8" s="607">
        <f>SUM(J4:J7)</f>
        <v>140</v>
      </c>
    </row>
    <row r="10" spans="1:10" x14ac:dyDescent="0.2">
      <c r="D10" s="995"/>
      <c r="E10" s="986"/>
    </row>
    <row r="11" spans="1:10" x14ac:dyDescent="0.2">
      <c r="D11" s="995"/>
      <c r="E11" s="986"/>
    </row>
  </sheetData>
  <sheetProtection algorithmName="SHA-512" hashValue="UauLFUwwXEyWMWf1ukRraz7Znl4HdODti/iwxHZO8L9bEshNABwNEUpGaw9sl40B6V4MxNHH9M8yYDR8xw+ueg==" saltValue="kcXiKXPjhHXap6svCSFIzw==" spinCount="100000" sheet="1" objects="1" scenarios="1" selectLockedCells="1" selectUnlockedCells="1"/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1" orientation="portrait" r:id="rId1"/>
  <headerFooter>
    <oddHeader>&amp;R&amp;"Times New Roman CE,Félkövér dőlt"&amp;11 15. melléklet a .../2018. (...)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6"/>
  <sheetViews>
    <sheetView view="pageBreakPreview" zoomScale="60" zoomScaleNormal="100" workbookViewId="0">
      <selection sqref="A1:C1"/>
    </sheetView>
  </sheetViews>
  <sheetFormatPr defaultColWidth="9.33203125" defaultRowHeight="15" x14ac:dyDescent="0.25"/>
  <cols>
    <col min="1" max="1" width="11.5" style="384" customWidth="1"/>
    <col min="2" max="2" width="59.5" style="383" customWidth="1"/>
    <col min="3" max="3" width="23.6640625" style="399" customWidth="1"/>
    <col min="4" max="6" width="17.83203125" style="383" customWidth="1"/>
    <col min="7" max="8" width="19" style="383" customWidth="1"/>
    <col min="9" max="16384" width="9.33203125" style="383"/>
  </cols>
  <sheetData>
    <row r="1" spans="1:5" ht="42" customHeight="1" x14ac:dyDescent="0.25">
      <c r="A1" s="1189" t="s">
        <v>747</v>
      </c>
      <c r="B1" s="1190"/>
      <c r="C1" s="1190"/>
    </row>
    <row r="2" spans="1:5" ht="15" customHeight="1" x14ac:dyDescent="0.25">
      <c r="C2" s="385"/>
    </row>
    <row r="3" spans="1:5" s="386" customFormat="1" ht="25.5" customHeight="1" x14ac:dyDescent="0.2">
      <c r="A3" s="1191" t="s">
        <v>494</v>
      </c>
      <c r="B3" s="1191"/>
      <c r="C3" s="1191"/>
    </row>
    <row r="4" spans="1:5" x14ac:dyDescent="0.25">
      <c r="A4" s="387"/>
      <c r="B4" s="388"/>
      <c r="C4" s="389" t="s">
        <v>1</v>
      </c>
    </row>
    <row r="5" spans="1:5" s="393" customFormat="1" ht="27.75" customHeight="1" x14ac:dyDescent="0.2">
      <c r="A5" s="390" t="s">
        <v>496</v>
      </c>
      <c r="B5" s="391" t="s">
        <v>497</v>
      </c>
      <c r="C5" s="392" t="s">
        <v>500</v>
      </c>
    </row>
    <row r="6" spans="1:5" ht="34.5" customHeight="1" x14ac:dyDescent="0.25">
      <c r="A6" s="561" t="s">
        <v>9</v>
      </c>
      <c r="B6" s="562"/>
      <c r="C6" s="563">
        <v>0</v>
      </c>
    </row>
    <row r="7" spans="1:5" ht="25.5" customHeight="1" x14ac:dyDescent="0.25">
      <c r="A7" s="564" t="s">
        <v>12</v>
      </c>
      <c r="B7" s="565"/>
      <c r="C7" s="566">
        <v>0</v>
      </c>
    </row>
    <row r="8" spans="1:5" s="394" customFormat="1" ht="25.5" customHeight="1" x14ac:dyDescent="0.2">
      <c r="A8" s="390" t="s">
        <v>15</v>
      </c>
      <c r="B8" s="567" t="s">
        <v>366</v>
      </c>
      <c r="C8" s="568">
        <f>SUM(C6:C7)</f>
        <v>0</v>
      </c>
    </row>
    <row r="10" spans="1:5" s="386" customFormat="1" ht="25.5" customHeight="1" x14ac:dyDescent="0.2">
      <c r="A10" s="1191" t="s">
        <v>498</v>
      </c>
      <c r="B10" s="1191"/>
      <c r="C10" s="1191"/>
    </row>
    <row r="11" spans="1:5" x14ac:dyDescent="0.25">
      <c r="A11" s="387"/>
      <c r="B11" s="388"/>
      <c r="C11" s="395"/>
    </row>
    <row r="12" spans="1:5" s="393" customFormat="1" ht="27.75" customHeight="1" x14ac:dyDescent="0.2">
      <c r="A12" s="390" t="s">
        <v>496</v>
      </c>
      <c r="B12" s="391" t="s">
        <v>497</v>
      </c>
      <c r="C12" s="392" t="s">
        <v>500</v>
      </c>
    </row>
    <row r="13" spans="1:5" ht="50.25" customHeight="1" x14ac:dyDescent="0.25">
      <c r="A13" s="561" t="s">
        <v>9</v>
      </c>
      <c r="B13" s="560"/>
      <c r="C13" s="569">
        <v>0</v>
      </c>
      <c r="E13" s="396"/>
    </row>
    <row r="14" spans="1:5" ht="25.5" customHeight="1" x14ac:dyDescent="0.25">
      <c r="A14" s="390" t="s">
        <v>12</v>
      </c>
      <c r="B14" s="570" t="s">
        <v>366</v>
      </c>
      <c r="C14" s="571">
        <f>SUM(C13:C13)</f>
        <v>0</v>
      </c>
    </row>
    <row r="15" spans="1:5" ht="25.5" customHeight="1" x14ac:dyDescent="0.25">
      <c r="A15" s="572" t="s">
        <v>15</v>
      </c>
      <c r="B15" s="573" t="s">
        <v>499</v>
      </c>
      <c r="C15" s="574">
        <f>SUM(C8+C14)</f>
        <v>0</v>
      </c>
    </row>
    <row r="16" spans="1:5" ht="18.75" x14ac:dyDescent="0.3">
      <c r="A16" s="397"/>
      <c r="B16" s="398"/>
      <c r="C16" s="398"/>
      <c r="D16" s="398"/>
    </row>
  </sheetData>
  <sheetProtection algorithmName="SHA-512" hashValue="lwrGzGHGPkthCHXyG5y+bOWb6amxuASqtZIIoc5uoL8kq/cFXvwqmSfVJfiKTrK9To/mIasukmC8FJsihJpT/Q==" saltValue="9uIWZGmIga+cq6Hh7PQfFw==" spinCount="100000" sheet="1" objects="1" scenarios="1" selectLockedCells="1" selectUnlockedCells="1"/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16.  melléklet a ...../2018.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42"/>
  <sheetViews>
    <sheetView view="pageBreakPreview" zoomScale="60" zoomScaleNormal="100" workbookViewId="0">
      <selection sqref="A1:F1"/>
    </sheetView>
  </sheetViews>
  <sheetFormatPr defaultRowHeight="15.75" x14ac:dyDescent="0.25"/>
  <cols>
    <col min="1" max="1" width="7" style="87" customWidth="1"/>
    <col min="2" max="2" width="58.6640625" style="87" customWidth="1"/>
    <col min="3" max="3" width="15.1640625" style="88" customWidth="1"/>
    <col min="4" max="6" width="15.1640625" style="87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92" t="s">
        <v>748</v>
      </c>
      <c r="B1" s="1193"/>
      <c r="C1" s="1193"/>
      <c r="D1" s="1193"/>
      <c r="E1" s="1193"/>
      <c r="F1" s="1193"/>
    </row>
    <row r="3" spans="1:8" ht="15.95" customHeight="1" x14ac:dyDescent="0.25">
      <c r="A3" s="1104" t="s">
        <v>501</v>
      </c>
      <c r="B3" s="1104"/>
      <c r="C3" s="1104"/>
      <c r="D3" s="1104"/>
      <c r="E3" s="1104"/>
      <c r="F3" s="1104"/>
    </row>
    <row r="4" spans="1:8" ht="15.95" customHeight="1" x14ac:dyDescent="0.25">
      <c r="A4" s="1103"/>
      <c r="B4" s="1103"/>
      <c r="D4" s="322"/>
      <c r="E4" s="322"/>
      <c r="F4" s="2" t="s">
        <v>895</v>
      </c>
    </row>
    <row r="5" spans="1:8" ht="31.5" customHeight="1" x14ac:dyDescent="0.25">
      <c r="A5" s="118" t="s">
        <v>2</v>
      </c>
      <c r="B5" s="30" t="s">
        <v>3</v>
      </c>
      <c r="C5" s="30" t="s">
        <v>503</v>
      </c>
      <c r="D5" s="30" t="s">
        <v>504</v>
      </c>
      <c r="E5" s="119" t="s">
        <v>505</v>
      </c>
      <c r="F5" s="119" t="s">
        <v>725</v>
      </c>
    </row>
    <row r="6" spans="1:8" s="6" customFormat="1" ht="12" customHeight="1" x14ac:dyDescent="0.2">
      <c r="A6" s="401" t="s">
        <v>5</v>
      </c>
      <c r="B6" s="402" t="s">
        <v>6</v>
      </c>
      <c r="C6" s="402" t="s">
        <v>7</v>
      </c>
      <c r="D6" s="402" t="s">
        <v>8</v>
      </c>
      <c r="E6" s="403" t="s">
        <v>263</v>
      </c>
      <c r="F6" s="404" t="s">
        <v>422</v>
      </c>
    </row>
    <row r="7" spans="1:8" s="854" customFormat="1" ht="23.25" customHeight="1" x14ac:dyDescent="0.25">
      <c r="A7" s="850" t="s">
        <v>9</v>
      </c>
      <c r="B7" s="851" t="s">
        <v>506</v>
      </c>
      <c r="C7" s="852" t="e">
        <f>#REF!</f>
        <v>#REF!</v>
      </c>
      <c r="D7" s="852">
        <f>180000000+140000000+12000000</f>
        <v>332000000</v>
      </c>
      <c r="E7" s="852">
        <f>D7*1.01</f>
        <v>335320000</v>
      </c>
      <c r="F7" s="853">
        <f>E7-1.01+1</f>
        <v>335319999.99000001</v>
      </c>
    </row>
    <row r="8" spans="1:8" s="854" customFormat="1" ht="23.25" customHeight="1" x14ac:dyDescent="0.25">
      <c r="A8" s="855" t="s">
        <v>12</v>
      </c>
      <c r="B8" s="856" t="s">
        <v>507</v>
      </c>
      <c r="C8" s="857" t="e">
        <f>#REF!</f>
        <v>#REF!</v>
      </c>
      <c r="D8" s="857">
        <v>20000000</v>
      </c>
      <c r="E8" s="858">
        <f>20000000*1.01</f>
        <v>20200000</v>
      </c>
      <c r="F8" s="859">
        <f>20000000*1.01</f>
        <v>20200000</v>
      </c>
    </row>
    <row r="9" spans="1:8" s="854" customFormat="1" ht="23.25" customHeight="1" x14ac:dyDescent="0.25">
      <c r="A9" s="850" t="s">
        <v>15</v>
      </c>
      <c r="B9" s="856" t="s">
        <v>103</v>
      </c>
      <c r="C9" s="857" t="e">
        <f>#REF!</f>
        <v>#REF!</v>
      </c>
      <c r="D9" s="857">
        <v>31000000</v>
      </c>
      <c r="E9" s="858">
        <f>D9*1.02</f>
        <v>31620000</v>
      </c>
      <c r="F9" s="859">
        <f>E9*1.01</f>
        <v>31936200</v>
      </c>
      <c r="H9" s="1031"/>
    </row>
    <row r="10" spans="1:8" s="854" customFormat="1" ht="23.25" customHeight="1" x14ac:dyDescent="0.25">
      <c r="A10" s="855" t="s">
        <v>18</v>
      </c>
      <c r="B10" s="856" t="s">
        <v>508</v>
      </c>
      <c r="C10" s="857" t="e">
        <f>#REF!</f>
        <v>#REF!</v>
      </c>
      <c r="D10" s="857">
        <v>35000000</v>
      </c>
      <c r="E10" s="857">
        <f>D10*1.01</f>
        <v>35350000</v>
      </c>
      <c r="F10" s="859">
        <f>E10</f>
        <v>35350000</v>
      </c>
    </row>
    <row r="11" spans="1:8" s="854" customFormat="1" ht="23.25" customHeight="1" x14ac:dyDescent="0.25">
      <c r="A11" s="850" t="s">
        <v>21</v>
      </c>
      <c r="B11" s="856" t="s">
        <v>405</v>
      </c>
      <c r="C11" s="857" t="e">
        <f>#REF!</f>
        <v>#REF!</v>
      </c>
      <c r="D11" s="857">
        <v>0</v>
      </c>
      <c r="E11" s="857">
        <v>0</v>
      </c>
      <c r="F11" s="859">
        <v>0</v>
      </c>
    </row>
    <row r="12" spans="1:8" s="854" customFormat="1" ht="23.25" customHeight="1" x14ac:dyDescent="0.25">
      <c r="A12" s="855" t="s">
        <v>24</v>
      </c>
      <c r="B12" s="856" t="s">
        <v>509</v>
      </c>
      <c r="C12" s="857" t="e">
        <f>#REF!</f>
        <v>#REF!</v>
      </c>
      <c r="D12" s="857"/>
      <c r="E12" s="858"/>
      <c r="F12" s="859"/>
    </row>
    <row r="13" spans="1:8" s="854" customFormat="1" ht="23.25" customHeight="1" x14ac:dyDescent="0.25">
      <c r="A13" s="850" t="s">
        <v>27</v>
      </c>
      <c r="B13" s="860" t="s">
        <v>510</v>
      </c>
      <c r="C13" s="857"/>
      <c r="D13" s="857"/>
      <c r="E13" s="858"/>
      <c r="F13" s="859"/>
    </row>
    <row r="14" spans="1:8" s="854" customFormat="1" ht="31.5" customHeight="1" x14ac:dyDescent="0.25">
      <c r="A14" s="855" t="s">
        <v>30</v>
      </c>
      <c r="B14" s="856" t="s">
        <v>608</v>
      </c>
      <c r="C14" s="861" t="e">
        <f>SUM(C7:C13)</f>
        <v>#REF!</v>
      </c>
      <c r="D14" s="861">
        <f>SUM(D7:D13)</f>
        <v>418000000</v>
      </c>
      <c r="E14" s="861">
        <f>SUM(E7:E13)</f>
        <v>422490000</v>
      </c>
      <c r="F14" s="862">
        <f>SUM(F7:F13)</f>
        <v>422806199.99000001</v>
      </c>
    </row>
    <row r="15" spans="1:8" s="854" customFormat="1" ht="23.25" customHeight="1" x14ac:dyDescent="0.25">
      <c r="A15" s="863" t="s">
        <v>33</v>
      </c>
      <c r="B15" s="864" t="s">
        <v>511</v>
      </c>
      <c r="C15" s="865" t="e">
        <f>#REF!</f>
        <v>#REF!</v>
      </c>
      <c r="D15" s="865">
        <v>20000000</v>
      </c>
      <c r="E15" s="866">
        <v>20000000</v>
      </c>
      <c r="F15" s="867">
        <v>20000000</v>
      </c>
    </row>
    <row r="16" spans="1:8" s="10" customFormat="1" ht="27" customHeight="1" x14ac:dyDescent="0.2">
      <c r="A16" s="118" t="s">
        <v>36</v>
      </c>
      <c r="B16" s="83" t="s">
        <v>512</v>
      </c>
      <c r="C16" s="414" t="e">
        <f>+C14+C15</f>
        <v>#REF!</v>
      </c>
      <c r="D16" s="414">
        <f>+D14+D15</f>
        <v>438000000</v>
      </c>
      <c r="E16" s="414">
        <f>+E14+E15</f>
        <v>442490000</v>
      </c>
      <c r="F16" s="415">
        <f>+F14+F15</f>
        <v>442806199.99000001</v>
      </c>
    </row>
    <row r="17" spans="1:11" s="10" customFormat="1" ht="12" customHeight="1" x14ac:dyDescent="0.2">
      <c r="A17" s="416"/>
      <c r="B17" s="417"/>
      <c r="C17" s="418"/>
      <c r="D17" s="419"/>
      <c r="E17" s="419"/>
      <c r="F17" s="420"/>
    </row>
    <row r="18" spans="1:11" s="10" customFormat="1" ht="24" customHeight="1" x14ac:dyDescent="0.2">
      <c r="A18" s="1104" t="s">
        <v>458</v>
      </c>
      <c r="B18" s="1104"/>
      <c r="C18" s="1104"/>
      <c r="D18" s="1104"/>
      <c r="E18" s="1104"/>
      <c r="F18" s="1104"/>
    </row>
    <row r="19" spans="1:11" s="10" customFormat="1" ht="12" customHeight="1" x14ac:dyDescent="0.2">
      <c r="A19" s="1194"/>
      <c r="B19" s="1194"/>
      <c r="C19" s="88"/>
      <c r="D19" s="322"/>
      <c r="E19" s="322"/>
      <c r="F19" s="2" t="s">
        <v>371</v>
      </c>
    </row>
    <row r="20" spans="1:11" s="10" customFormat="1" ht="31.5" customHeight="1" x14ac:dyDescent="0.2">
      <c r="A20" s="118" t="s">
        <v>2</v>
      </c>
      <c r="B20" s="30" t="s">
        <v>3</v>
      </c>
      <c r="C20" s="30" t="s">
        <v>502</v>
      </c>
      <c r="D20" s="30" t="s">
        <v>503</v>
      </c>
      <c r="E20" s="30" t="s">
        <v>504</v>
      </c>
      <c r="F20" s="119" t="s">
        <v>505</v>
      </c>
      <c r="G20" s="421"/>
    </row>
    <row r="21" spans="1:11" s="10" customFormat="1" ht="12" customHeight="1" x14ac:dyDescent="0.2">
      <c r="A21" s="401" t="s">
        <v>5</v>
      </c>
      <c r="B21" s="402" t="s">
        <v>6</v>
      </c>
      <c r="C21" s="402" t="s">
        <v>7</v>
      </c>
      <c r="D21" s="402" t="s">
        <v>8</v>
      </c>
      <c r="E21" s="403" t="s">
        <v>263</v>
      </c>
      <c r="F21" s="404" t="s">
        <v>422</v>
      </c>
      <c r="G21" s="421"/>
    </row>
    <row r="22" spans="1:11" s="10" customFormat="1" ht="23.25" customHeight="1" x14ac:dyDescent="0.2">
      <c r="A22" s="81" t="s">
        <v>9</v>
      </c>
      <c r="B22" s="422" t="s">
        <v>513</v>
      </c>
      <c r="C22" s="408" t="e">
        <f>#REF!</f>
        <v>#REF!</v>
      </c>
      <c r="D22" s="408">
        <v>389500000</v>
      </c>
      <c r="E22" s="408">
        <v>393150000</v>
      </c>
      <c r="F22" s="409">
        <v>393037800</v>
      </c>
      <c r="G22" s="421"/>
    </row>
    <row r="23" spans="1:11" ht="23.25" customHeight="1" x14ac:dyDescent="0.25">
      <c r="A23" s="81" t="s">
        <v>12</v>
      </c>
      <c r="B23" s="423" t="s">
        <v>514</v>
      </c>
      <c r="C23" s="411" t="e">
        <f>+C24+C25+C26</f>
        <v>#REF!</v>
      </c>
      <c r="D23" s="411">
        <f t="shared" ref="D23:E23" si="0">+D24+D25+D26</f>
        <v>42000000</v>
      </c>
      <c r="E23" s="411">
        <f t="shared" si="0"/>
        <v>42840000</v>
      </c>
      <c r="F23" s="412">
        <f>+F24+F25+F26</f>
        <v>43268400</v>
      </c>
      <c r="I23" s="990">
        <f>D16-D29</f>
        <v>0</v>
      </c>
      <c r="J23" s="990">
        <f t="shared" ref="J23:K23" si="1">E16-E29</f>
        <v>0</v>
      </c>
      <c r="K23" s="990">
        <f t="shared" si="1"/>
        <v>-9.9999904632568359E-3</v>
      </c>
    </row>
    <row r="24" spans="1:11" ht="23.25" customHeight="1" x14ac:dyDescent="0.25">
      <c r="A24" s="50" t="s">
        <v>515</v>
      </c>
      <c r="B24" s="407" t="s">
        <v>226</v>
      </c>
      <c r="C24" s="408" t="e">
        <f>#REF!</f>
        <v>#REF!</v>
      </c>
      <c r="D24" s="411">
        <v>35000000</v>
      </c>
      <c r="E24" s="411">
        <f>D24*1.02</f>
        <v>35700000</v>
      </c>
      <c r="F24" s="412">
        <f>E24*1.01</f>
        <v>36057000</v>
      </c>
    </row>
    <row r="25" spans="1:11" ht="23.25" customHeight="1" x14ac:dyDescent="0.25">
      <c r="A25" s="50" t="s">
        <v>516</v>
      </c>
      <c r="B25" s="407" t="s">
        <v>228</v>
      </c>
      <c r="C25" s="408" t="e">
        <f>#REF!</f>
        <v>#REF!</v>
      </c>
      <c r="D25" s="408">
        <v>7000000</v>
      </c>
      <c r="E25" s="411">
        <f>D25*1.02</f>
        <v>7140000</v>
      </c>
      <c r="F25" s="412">
        <f>E25*1.01</f>
        <v>7211400</v>
      </c>
    </row>
    <row r="26" spans="1:11" ht="23.25" customHeight="1" x14ac:dyDescent="0.25">
      <c r="A26" s="50" t="s">
        <v>517</v>
      </c>
      <c r="B26" s="410" t="s">
        <v>230</v>
      </c>
      <c r="C26" s="408" t="e">
        <f>#REF!</f>
        <v>#REF!</v>
      </c>
      <c r="D26" s="408">
        <v>0</v>
      </c>
      <c r="E26" s="408"/>
      <c r="F26" s="409"/>
    </row>
    <row r="27" spans="1:11" ht="23.25" customHeight="1" x14ac:dyDescent="0.25">
      <c r="A27" s="81" t="s">
        <v>15</v>
      </c>
      <c r="B27" s="424" t="s">
        <v>518</v>
      </c>
      <c r="C27" s="425" t="e">
        <f>+C22+C23</f>
        <v>#REF!</v>
      </c>
      <c r="D27" s="425">
        <f>+D22+D23</f>
        <v>431500000</v>
      </c>
      <c r="E27" s="425">
        <f>+E22+E23</f>
        <v>435990000</v>
      </c>
      <c r="F27" s="426">
        <f>+F22+F23</f>
        <v>436306200</v>
      </c>
    </row>
    <row r="28" spans="1:11" ht="23.25" customHeight="1" x14ac:dyDescent="0.25">
      <c r="A28" s="427" t="s">
        <v>18</v>
      </c>
      <c r="B28" s="428" t="s">
        <v>519</v>
      </c>
      <c r="C28" s="429" t="e">
        <f>#REF!</f>
        <v>#REF!</v>
      </c>
      <c r="D28" s="429">
        <v>6500000</v>
      </c>
      <c r="E28" s="429">
        <f>D28</f>
        <v>6500000</v>
      </c>
      <c r="F28" s="430">
        <f>E28</f>
        <v>6500000</v>
      </c>
      <c r="G28" s="84"/>
    </row>
    <row r="29" spans="1:11" s="10" customFormat="1" ht="23.25" customHeight="1" x14ac:dyDescent="0.2">
      <c r="A29" s="431" t="s">
        <v>21</v>
      </c>
      <c r="B29" s="86" t="s">
        <v>520</v>
      </c>
      <c r="C29" s="432" t="e">
        <f>+C27+C28</f>
        <v>#REF!</v>
      </c>
      <c r="D29" s="432">
        <f>+D27+D28</f>
        <v>438000000</v>
      </c>
      <c r="E29" s="432">
        <f>+E27+E28</f>
        <v>442490000</v>
      </c>
      <c r="F29" s="433">
        <f>+F27+F28</f>
        <v>442806200</v>
      </c>
    </row>
    <row r="30" spans="1:11" x14ac:dyDescent="0.25">
      <c r="C30" s="87"/>
    </row>
    <row r="31" spans="1:11" x14ac:dyDescent="0.25">
      <c r="C31" s="87"/>
    </row>
    <row r="32" spans="1:11" x14ac:dyDescent="0.25">
      <c r="C32" s="87"/>
    </row>
    <row r="33" spans="3:8" ht="16.5" customHeight="1" x14ac:dyDescent="0.25">
      <c r="C33" s="87"/>
    </row>
    <row r="34" spans="3:8" x14ac:dyDescent="0.25">
      <c r="C34" s="87"/>
    </row>
    <row r="35" spans="3:8" x14ac:dyDescent="0.25">
      <c r="C35" s="87"/>
    </row>
    <row r="36" spans="3:8" s="87" customFormat="1" x14ac:dyDescent="0.25">
      <c r="G36" s="1"/>
      <c r="H36" s="1"/>
    </row>
    <row r="37" spans="3:8" s="87" customFormat="1" x14ac:dyDescent="0.25">
      <c r="G37" s="1"/>
      <c r="H37" s="1"/>
    </row>
    <row r="38" spans="3:8" s="87" customFormat="1" x14ac:dyDescent="0.25">
      <c r="G38" s="1"/>
      <c r="H38" s="1"/>
    </row>
    <row r="39" spans="3:8" s="87" customFormat="1" x14ac:dyDescent="0.25">
      <c r="G39" s="1"/>
      <c r="H39" s="1"/>
    </row>
    <row r="40" spans="3:8" s="87" customFormat="1" x14ac:dyDescent="0.25">
      <c r="G40" s="1"/>
      <c r="H40" s="1"/>
    </row>
    <row r="41" spans="3:8" s="87" customFormat="1" x14ac:dyDescent="0.25">
      <c r="G41" s="1"/>
      <c r="H41" s="1"/>
    </row>
    <row r="42" spans="3:8" s="87" customFormat="1" x14ac:dyDescent="0.25">
      <c r="G42" s="1"/>
      <c r="H42" s="1"/>
    </row>
  </sheetData>
  <sheetProtection algorithmName="SHA-512" hashValue="/mM7jX8QzE2IoBNMz6OAI9QPUghYy9Qt/T+P1A1zdwa0vFbdFzNM2xOaenumKC94evMO6OGtIvn2jt8VDp/HbQ==" saltValue="HV43ljGcEnQKrOeoFU1s+g==" spinCount="100000" sheet="1" objects="1" scenarios="1" selectLockedCells="1" selectUnlockedCells="1"/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17. melléklet a .../2018. (...)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3"/>
  <sheetViews>
    <sheetView view="pageBreakPreview" zoomScale="60" zoomScaleNormal="100" workbookViewId="0">
      <selection activeCell="G19" sqref="G19"/>
    </sheetView>
  </sheetViews>
  <sheetFormatPr defaultColWidth="9.33203125" defaultRowHeight="15" x14ac:dyDescent="0.25"/>
  <cols>
    <col min="1" max="1" width="41.33203125" style="361" customWidth="1"/>
    <col min="2" max="2" width="19.6640625" style="361" customWidth="1"/>
    <col min="3" max="3" width="16.6640625" style="361" customWidth="1"/>
    <col min="4" max="9" width="16" style="361" customWidth="1"/>
    <col min="10" max="10" width="17.83203125" style="361" customWidth="1"/>
    <col min="11" max="16384" width="9.33203125" style="361"/>
  </cols>
  <sheetData>
    <row r="1" spans="1:10" ht="56.25" customHeight="1" x14ac:dyDescent="0.25">
      <c r="A1" s="1195" t="s">
        <v>749</v>
      </c>
      <c r="B1" s="1195"/>
      <c r="C1" s="1195"/>
      <c r="D1" s="1195"/>
      <c r="E1" s="1195"/>
      <c r="F1" s="1195"/>
      <c r="G1" s="1195"/>
      <c r="H1" s="1195"/>
      <c r="I1" s="1195"/>
    </row>
    <row r="2" spans="1:10" ht="18.75" customHeight="1" x14ac:dyDescent="0.25">
      <c r="A2" s="362"/>
      <c r="B2" s="362"/>
      <c r="C2" s="1015" t="s">
        <v>544</v>
      </c>
      <c r="D2" s="362"/>
      <c r="E2" s="362"/>
      <c r="F2" s="362"/>
      <c r="G2" s="362"/>
      <c r="H2" s="362"/>
      <c r="I2" s="362"/>
    </row>
    <row r="3" spans="1:10" x14ac:dyDescent="0.25">
      <c r="A3" s="363"/>
      <c r="B3" s="363"/>
      <c r="C3" s="363"/>
      <c r="D3" s="363"/>
      <c r="E3" s="363"/>
      <c r="F3" s="363"/>
      <c r="G3" s="363"/>
      <c r="H3" s="1196" t="s">
        <v>1</v>
      </c>
      <c r="I3" s="1196"/>
    </row>
    <row r="4" spans="1:10" s="364" customFormat="1" ht="71.25" customHeight="1" x14ac:dyDescent="0.2">
      <c r="A4" s="1197" t="s">
        <v>488</v>
      </c>
      <c r="B4" s="1199" t="s">
        <v>489</v>
      </c>
      <c r="C4" s="1197" t="s">
        <v>490</v>
      </c>
      <c r="D4" s="1201" t="s">
        <v>726</v>
      </c>
      <c r="E4" s="1201"/>
      <c r="F4" s="1201" t="s">
        <v>491</v>
      </c>
      <c r="G4" s="1201"/>
      <c r="H4" s="1201" t="s">
        <v>727</v>
      </c>
      <c r="I4" s="1202"/>
    </row>
    <row r="5" spans="1:10" s="367" customFormat="1" x14ac:dyDescent="0.25">
      <c r="A5" s="1198"/>
      <c r="B5" s="1200"/>
      <c r="C5" s="1198"/>
      <c r="D5" s="365" t="s">
        <v>492</v>
      </c>
      <c r="E5" s="365" t="s">
        <v>493</v>
      </c>
      <c r="F5" s="365" t="s">
        <v>492</v>
      </c>
      <c r="G5" s="365" t="s">
        <v>493</v>
      </c>
      <c r="H5" s="365" t="s">
        <v>492</v>
      </c>
      <c r="I5" s="366" t="s">
        <v>493</v>
      </c>
    </row>
    <row r="6" spans="1:10" x14ac:dyDescent="0.25">
      <c r="A6" s="502"/>
      <c r="B6" s="369"/>
      <c r="C6" s="368"/>
      <c r="D6" s="370"/>
      <c r="E6" s="370"/>
      <c r="F6" s="370"/>
      <c r="G6" s="370"/>
      <c r="H6" s="370"/>
      <c r="I6" s="371"/>
    </row>
    <row r="7" spans="1:10" s="377" customFormat="1" x14ac:dyDescent="0.25">
      <c r="A7" s="502"/>
      <c r="B7" s="373"/>
      <c r="C7" s="372"/>
      <c r="D7" s="374"/>
      <c r="E7" s="374"/>
      <c r="F7" s="374"/>
      <c r="G7" s="374"/>
      <c r="H7" s="374"/>
      <c r="I7" s="375"/>
      <c r="J7" s="376"/>
    </row>
    <row r="8" spans="1:10" s="382" customFormat="1" ht="26.25" customHeight="1" x14ac:dyDescent="0.2">
      <c r="A8" s="503" t="s">
        <v>366</v>
      </c>
      <c r="B8" s="378">
        <f>SUM(B6:B7)</f>
        <v>0</v>
      </c>
      <c r="C8" s="379"/>
      <c r="D8" s="380">
        <f t="shared" ref="D8:I8" si="0">SUM(D6:D7)</f>
        <v>0</v>
      </c>
      <c r="E8" s="380">
        <f t="shared" si="0"/>
        <v>0</v>
      </c>
      <c r="F8" s="380">
        <f t="shared" si="0"/>
        <v>0</v>
      </c>
      <c r="G8" s="380">
        <f t="shared" si="0"/>
        <v>0</v>
      </c>
      <c r="H8" s="380">
        <f t="shared" si="0"/>
        <v>0</v>
      </c>
      <c r="I8" s="381">
        <f t="shared" si="0"/>
        <v>0</v>
      </c>
    </row>
    <row r="9" spans="1:10" x14ac:dyDescent="0.25">
      <c r="A9" s="363"/>
      <c r="B9" s="363"/>
      <c r="C9" s="363"/>
      <c r="D9" s="363"/>
      <c r="E9" s="363"/>
      <c r="F9" s="363"/>
      <c r="G9" s="363"/>
      <c r="H9" s="363"/>
      <c r="I9" s="363"/>
    </row>
    <row r="10" spans="1:10" x14ac:dyDescent="0.25">
      <c r="A10" s="363"/>
      <c r="B10" s="363"/>
      <c r="C10" s="363"/>
      <c r="D10" s="363"/>
      <c r="E10" s="363"/>
      <c r="F10" s="363"/>
      <c r="G10" s="363"/>
      <c r="H10" s="363"/>
      <c r="I10" s="363"/>
    </row>
    <row r="11" spans="1:10" x14ac:dyDescent="0.25">
      <c r="A11" s="363"/>
      <c r="B11" s="363"/>
      <c r="C11" s="363"/>
      <c r="D11" s="363"/>
      <c r="E11" s="363"/>
      <c r="F11" s="363"/>
      <c r="G11" s="363"/>
      <c r="H11" s="363"/>
      <c r="I11" s="363"/>
    </row>
    <row r="12" spans="1:10" x14ac:dyDescent="0.25">
      <c r="A12" s="363"/>
      <c r="B12" s="363"/>
      <c r="C12" s="363"/>
      <c r="D12" s="363"/>
      <c r="E12" s="363"/>
      <c r="F12" s="363"/>
      <c r="G12" s="363"/>
      <c r="H12" s="363"/>
      <c r="I12" s="363"/>
    </row>
    <row r="13" spans="1:10" x14ac:dyDescent="0.25">
      <c r="A13" s="363"/>
      <c r="B13" s="363"/>
      <c r="C13" s="363"/>
      <c r="D13" s="363"/>
      <c r="E13" s="363"/>
      <c r="F13" s="363"/>
      <c r="G13" s="363"/>
      <c r="H13" s="363"/>
      <c r="I13" s="363"/>
    </row>
    <row r="14" spans="1:10" x14ac:dyDescent="0.25">
      <c r="A14" s="363"/>
      <c r="B14" s="363"/>
      <c r="C14" s="363"/>
      <c r="D14" s="363"/>
      <c r="E14" s="363"/>
      <c r="F14" s="363"/>
      <c r="G14" s="363"/>
      <c r="H14" s="363"/>
      <c r="I14" s="363"/>
    </row>
    <row r="15" spans="1:10" x14ac:dyDescent="0.25">
      <c r="A15" s="363"/>
      <c r="B15" s="363"/>
      <c r="C15" s="363"/>
      <c r="D15" s="363"/>
      <c r="E15" s="363"/>
      <c r="F15" s="363"/>
      <c r="G15" s="363"/>
      <c r="H15" s="363"/>
      <c r="I15" s="363"/>
    </row>
    <row r="16" spans="1:10" x14ac:dyDescent="0.25">
      <c r="A16" s="363"/>
      <c r="B16" s="363"/>
      <c r="C16" s="363"/>
      <c r="D16" s="363"/>
      <c r="E16" s="363"/>
      <c r="F16" s="363"/>
      <c r="G16" s="363"/>
      <c r="H16" s="363"/>
      <c r="I16" s="363"/>
    </row>
    <row r="17" spans="1:9" x14ac:dyDescent="0.25">
      <c r="A17" s="363"/>
      <c r="B17" s="363"/>
      <c r="C17" s="363"/>
      <c r="D17" s="363"/>
      <c r="E17" s="363"/>
      <c r="F17" s="363"/>
      <c r="G17" s="363"/>
      <c r="H17" s="363"/>
      <c r="I17" s="363"/>
    </row>
    <row r="18" spans="1:9" x14ac:dyDescent="0.25">
      <c r="A18" s="363"/>
      <c r="B18" s="363"/>
      <c r="C18" s="363"/>
      <c r="D18" s="363"/>
      <c r="E18" s="363"/>
      <c r="F18" s="363"/>
      <c r="G18" s="363"/>
      <c r="H18" s="363"/>
      <c r="I18" s="363"/>
    </row>
    <row r="19" spans="1:9" x14ac:dyDescent="0.25">
      <c r="A19" s="363"/>
      <c r="B19" s="363"/>
      <c r="C19" s="363"/>
      <c r="D19" s="363"/>
      <c r="E19" s="363"/>
      <c r="F19" s="363"/>
      <c r="G19" s="363"/>
      <c r="H19" s="363"/>
      <c r="I19" s="363"/>
    </row>
    <row r="20" spans="1:9" x14ac:dyDescent="0.25">
      <c r="A20" s="363"/>
      <c r="B20" s="363"/>
      <c r="C20" s="363"/>
      <c r="D20" s="363"/>
      <c r="E20" s="363"/>
      <c r="F20" s="363"/>
      <c r="G20" s="363"/>
      <c r="H20" s="363"/>
      <c r="I20" s="363"/>
    </row>
    <row r="21" spans="1:9" x14ac:dyDescent="0.25">
      <c r="A21" s="363"/>
      <c r="B21" s="363"/>
      <c r="C21" s="363"/>
      <c r="D21" s="363"/>
      <c r="E21" s="363"/>
      <c r="F21" s="363"/>
      <c r="G21" s="363"/>
      <c r="H21" s="363"/>
      <c r="I21" s="363"/>
    </row>
    <row r="22" spans="1:9" x14ac:dyDescent="0.25">
      <c r="A22" s="363"/>
      <c r="B22" s="363"/>
      <c r="C22" s="363"/>
      <c r="D22" s="363"/>
      <c r="E22" s="363"/>
      <c r="F22" s="363"/>
      <c r="G22" s="363"/>
      <c r="H22" s="363"/>
      <c r="I22" s="363"/>
    </row>
    <row r="23" spans="1:9" x14ac:dyDescent="0.25">
      <c r="A23" s="363"/>
      <c r="B23" s="363"/>
      <c r="C23" s="363"/>
      <c r="D23" s="363"/>
      <c r="E23" s="363"/>
      <c r="F23" s="363"/>
      <c r="G23" s="363"/>
      <c r="H23" s="363"/>
      <c r="I23" s="363"/>
    </row>
  </sheetData>
  <sheetProtection algorithmName="SHA-512" hashValue="fEgQ8g3qSfb1zi/3BVl+J9SgO5zRY3hcWqYB9ClepfO6e2yChdyGie1m5hmdUr+A9RAPMjUwFoJfUOlPQ93Riw==" saltValue="vCULBPDpwpCIafFVdMJUcQ==" spinCount="100000" sheet="1" objects="1" scenarios="1" selectLockedCells="1" selectUnlockedCells="1"/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18. melléklet a ...../2018. (...)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0"/>
  <sheetViews>
    <sheetView view="pageBreakPreview" zoomScale="60" zoomScaleNormal="100" workbookViewId="0">
      <selection activeCell="G10" sqref="G10"/>
    </sheetView>
  </sheetViews>
  <sheetFormatPr defaultColWidth="9.33203125" defaultRowHeight="15" x14ac:dyDescent="0.25"/>
  <cols>
    <col min="1" max="1" width="8" style="459" customWidth="1"/>
    <col min="2" max="2" width="86.1640625" style="459" customWidth="1"/>
    <col min="3" max="3" width="21.5" style="459" customWidth="1"/>
    <col min="4" max="16384" width="9.33203125" style="459"/>
  </cols>
  <sheetData>
    <row r="1" spans="1:3" s="458" customFormat="1" ht="60" customHeight="1" x14ac:dyDescent="0.2">
      <c r="A1" s="1203" t="s">
        <v>750</v>
      </c>
      <c r="B1" s="1203"/>
      <c r="C1" s="1203"/>
    </row>
    <row r="2" spans="1:3" x14ac:dyDescent="0.25">
      <c r="C2" s="504" t="s">
        <v>1</v>
      </c>
    </row>
    <row r="3" spans="1:3" ht="33.75" customHeight="1" x14ac:dyDescent="0.25">
      <c r="A3" s="578" t="s">
        <v>537</v>
      </c>
      <c r="B3" s="579" t="s">
        <v>262</v>
      </c>
      <c r="C3" s="580" t="s">
        <v>386</v>
      </c>
    </row>
    <row r="4" spans="1:3" ht="22.5" customHeight="1" x14ac:dyDescent="0.25">
      <c r="A4" s="460" t="s">
        <v>9</v>
      </c>
      <c r="B4" s="575" t="s">
        <v>582</v>
      </c>
      <c r="C4" s="461" t="e">
        <f>#REF!-#REF!</f>
        <v>#REF!</v>
      </c>
    </row>
    <row r="5" spans="1:3" ht="22.5" customHeight="1" x14ac:dyDescent="0.25">
      <c r="A5" s="462" t="s">
        <v>12</v>
      </c>
      <c r="B5" s="576" t="s">
        <v>583</v>
      </c>
      <c r="C5" s="461"/>
    </row>
    <row r="6" spans="1:3" ht="22.5" customHeight="1" x14ac:dyDescent="0.25">
      <c r="A6" s="462" t="s">
        <v>15</v>
      </c>
      <c r="B6" s="576" t="s">
        <v>584</v>
      </c>
      <c r="C6" s="463"/>
    </row>
    <row r="7" spans="1:3" ht="31.5" customHeight="1" x14ac:dyDescent="0.25">
      <c r="A7" s="462" t="s">
        <v>18</v>
      </c>
      <c r="B7" s="576" t="s">
        <v>585</v>
      </c>
      <c r="C7" s="463" t="e">
        <f>#REF!</f>
        <v>#REF!</v>
      </c>
    </row>
    <row r="8" spans="1:3" ht="22.5" customHeight="1" x14ac:dyDescent="0.25">
      <c r="A8" s="462" t="s">
        <v>21</v>
      </c>
      <c r="B8" s="576" t="s">
        <v>586</v>
      </c>
      <c r="C8" s="463" t="e">
        <f>#REF!</f>
        <v>#REF!</v>
      </c>
    </row>
    <row r="9" spans="1:3" ht="28.5" customHeight="1" x14ac:dyDescent="0.25">
      <c r="A9" s="582" t="s">
        <v>24</v>
      </c>
      <c r="B9" s="577" t="s">
        <v>587</v>
      </c>
      <c r="C9" s="586"/>
    </row>
    <row r="10" spans="1:3" s="458" customFormat="1" ht="22.5" customHeight="1" x14ac:dyDescent="0.2">
      <c r="A10" s="583" t="s">
        <v>27</v>
      </c>
      <c r="B10" s="581" t="s">
        <v>588</v>
      </c>
      <c r="C10" s="587" t="e">
        <f>SUM(C4:C9)</f>
        <v>#REF!</v>
      </c>
    </row>
    <row r="11" spans="1:3" s="458" customFormat="1" ht="22.5" customHeight="1" x14ac:dyDescent="0.2">
      <c r="A11" s="584" t="s">
        <v>30</v>
      </c>
      <c r="B11" s="581" t="s">
        <v>589</v>
      </c>
      <c r="C11" s="587" t="e">
        <f>C10/2</f>
        <v>#REF!</v>
      </c>
    </row>
    <row r="12" spans="1:3" s="458" customFormat="1" ht="27" customHeight="1" x14ac:dyDescent="0.2">
      <c r="A12" s="460" t="s">
        <v>33</v>
      </c>
      <c r="B12" s="575" t="s">
        <v>590</v>
      </c>
      <c r="C12" s="461">
        <v>0</v>
      </c>
    </row>
    <row r="13" spans="1:3" ht="34.5" customHeight="1" x14ac:dyDescent="0.25">
      <c r="A13" s="462" t="s">
        <v>36</v>
      </c>
      <c r="B13" s="576" t="s">
        <v>591</v>
      </c>
      <c r="C13" s="463"/>
    </row>
    <row r="14" spans="1:3" ht="34.5" customHeight="1" x14ac:dyDescent="0.25">
      <c r="A14" s="462" t="s">
        <v>38</v>
      </c>
      <c r="B14" s="576" t="s">
        <v>592</v>
      </c>
      <c r="C14" s="463"/>
    </row>
    <row r="15" spans="1:3" ht="34.5" customHeight="1" x14ac:dyDescent="0.25">
      <c r="A15" s="462" t="s">
        <v>40</v>
      </c>
      <c r="B15" s="576" t="s">
        <v>593</v>
      </c>
      <c r="C15" s="463"/>
    </row>
    <row r="16" spans="1:3" ht="34.5" customHeight="1" x14ac:dyDescent="0.25">
      <c r="A16" s="462" t="s">
        <v>42</v>
      </c>
      <c r="B16" s="576" t="s">
        <v>594</v>
      </c>
      <c r="C16" s="463"/>
    </row>
    <row r="17" spans="1:3" ht="34.5" customHeight="1" x14ac:dyDescent="0.25">
      <c r="A17" s="462" t="s">
        <v>44</v>
      </c>
      <c r="B17" s="576" t="s">
        <v>595</v>
      </c>
      <c r="C17" s="463"/>
    </row>
    <row r="18" spans="1:3" ht="34.5" customHeight="1" x14ac:dyDescent="0.25">
      <c r="A18" s="585" t="s">
        <v>46</v>
      </c>
      <c r="B18" s="577" t="s">
        <v>596</v>
      </c>
      <c r="C18" s="586"/>
    </row>
    <row r="19" spans="1:3" ht="34.5" customHeight="1" x14ac:dyDescent="0.25">
      <c r="A19" s="584" t="s">
        <v>48</v>
      </c>
      <c r="B19" s="581" t="s">
        <v>597</v>
      </c>
      <c r="C19" s="588">
        <f>SUM(C12:C18)</f>
        <v>0</v>
      </c>
    </row>
    <row r="20" spans="1:3" s="458" customFormat="1" ht="24" customHeight="1" x14ac:dyDescent="0.2">
      <c r="A20" s="584" t="s">
        <v>50</v>
      </c>
      <c r="B20" s="581" t="s">
        <v>598</v>
      </c>
      <c r="C20" s="589" t="e">
        <f>C11-C19</f>
        <v>#REF!</v>
      </c>
    </row>
  </sheetData>
  <sheetProtection algorithmName="SHA-512" hashValue="wF17hMYEUrkySyBZdFg4Ux5YpBHqw02u0HmeK23XddmqGxG3EZSwSxdr+PLiuBVofWyYBDbKFpzjAZSWlGauEw==" saltValue="sCaXl1zoFK/oItyI0xvUCA==" spinCount="100000" sheet="1" objects="1" scenarios="1" selectLockedCells="1" selectUnlockedCells="1"/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19. melléklet a ...../2018.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44"/>
  <sheetViews>
    <sheetView view="pageBreakPreview" zoomScale="60" zoomScaleNormal="100" workbookViewId="0">
      <selection activeCell="I19" sqref="I19"/>
    </sheetView>
  </sheetViews>
  <sheetFormatPr defaultRowHeight="15" x14ac:dyDescent="0.25"/>
  <cols>
    <col min="1" max="1" width="7.33203125" style="464" customWidth="1"/>
    <col min="2" max="2" width="45.1640625" style="464" customWidth="1"/>
    <col min="3" max="5" width="22.83203125" style="471" customWidth="1"/>
    <col min="6" max="6" width="9.33203125" style="464"/>
    <col min="7" max="7" width="12.83203125" style="464" bestFit="1" customWidth="1"/>
    <col min="8" max="256" width="9.33203125" style="464"/>
    <col min="257" max="257" width="5" style="464" customWidth="1"/>
    <col min="258" max="258" width="76.33203125" style="464" customWidth="1"/>
    <col min="259" max="259" width="17.1640625" style="464" customWidth="1"/>
    <col min="260" max="260" width="19.1640625" style="464" customWidth="1"/>
    <col min="261" max="261" width="17.1640625" style="464" customWidth="1"/>
    <col min="262" max="262" width="9.33203125" style="464"/>
    <col min="263" max="263" width="12.83203125" style="464" bestFit="1" customWidth="1"/>
    <col min="264" max="512" width="9.33203125" style="464"/>
    <col min="513" max="513" width="5" style="464" customWidth="1"/>
    <col min="514" max="514" width="76.33203125" style="464" customWidth="1"/>
    <col min="515" max="515" width="17.1640625" style="464" customWidth="1"/>
    <col min="516" max="516" width="19.1640625" style="464" customWidth="1"/>
    <col min="517" max="517" width="17.1640625" style="464" customWidth="1"/>
    <col min="518" max="518" width="9.33203125" style="464"/>
    <col min="519" max="519" width="12.83203125" style="464" bestFit="1" customWidth="1"/>
    <col min="520" max="768" width="9.33203125" style="464"/>
    <col min="769" max="769" width="5" style="464" customWidth="1"/>
    <col min="770" max="770" width="76.33203125" style="464" customWidth="1"/>
    <col min="771" max="771" width="17.1640625" style="464" customWidth="1"/>
    <col min="772" max="772" width="19.1640625" style="464" customWidth="1"/>
    <col min="773" max="773" width="17.1640625" style="464" customWidth="1"/>
    <col min="774" max="774" width="9.33203125" style="464"/>
    <col min="775" max="775" width="12.83203125" style="464" bestFit="1" customWidth="1"/>
    <col min="776" max="1024" width="9.33203125" style="464"/>
    <col min="1025" max="1025" width="5" style="464" customWidth="1"/>
    <col min="1026" max="1026" width="76.33203125" style="464" customWidth="1"/>
    <col min="1027" max="1027" width="17.1640625" style="464" customWidth="1"/>
    <col min="1028" max="1028" width="19.1640625" style="464" customWidth="1"/>
    <col min="1029" max="1029" width="17.1640625" style="464" customWidth="1"/>
    <col min="1030" max="1030" width="9.33203125" style="464"/>
    <col min="1031" max="1031" width="12.83203125" style="464" bestFit="1" customWidth="1"/>
    <col min="1032" max="1280" width="9.33203125" style="464"/>
    <col min="1281" max="1281" width="5" style="464" customWidth="1"/>
    <col min="1282" max="1282" width="76.33203125" style="464" customWidth="1"/>
    <col min="1283" max="1283" width="17.1640625" style="464" customWidth="1"/>
    <col min="1284" max="1284" width="19.1640625" style="464" customWidth="1"/>
    <col min="1285" max="1285" width="17.1640625" style="464" customWidth="1"/>
    <col min="1286" max="1286" width="9.33203125" style="464"/>
    <col min="1287" max="1287" width="12.83203125" style="464" bestFit="1" customWidth="1"/>
    <col min="1288" max="1536" width="9.33203125" style="464"/>
    <col min="1537" max="1537" width="5" style="464" customWidth="1"/>
    <col min="1538" max="1538" width="76.33203125" style="464" customWidth="1"/>
    <col min="1539" max="1539" width="17.1640625" style="464" customWidth="1"/>
    <col min="1540" max="1540" width="19.1640625" style="464" customWidth="1"/>
    <col min="1541" max="1541" width="17.1640625" style="464" customWidth="1"/>
    <col min="1542" max="1542" width="9.33203125" style="464"/>
    <col min="1543" max="1543" width="12.83203125" style="464" bestFit="1" customWidth="1"/>
    <col min="1544" max="1792" width="9.33203125" style="464"/>
    <col min="1793" max="1793" width="5" style="464" customWidth="1"/>
    <col min="1794" max="1794" width="76.33203125" style="464" customWidth="1"/>
    <col min="1795" max="1795" width="17.1640625" style="464" customWidth="1"/>
    <col min="1796" max="1796" width="19.1640625" style="464" customWidth="1"/>
    <col min="1797" max="1797" width="17.1640625" style="464" customWidth="1"/>
    <col min="1798" max="1798" width="9.33203125" style="464"/>
    <col min="1799" max="1799" width="12.83203125" style="464" bestFit="1" customWidth="1"/>
    <col min="1800" max="2048" width="9.33203125" style="464"/>
    <col min="2049" max="2049" width="5" style="464" customWidth="1"/>
    <col min="2050" max="2050" width="76.33203125" style="464" customWidth="1"/>
    <col min="2051" max="2051" width="17.1640625" style="464" customWidth="1"/>
    <col min="2052" max="2052" width="19.1640625" style="464" customWidth="1"/>
    <col min="2053" max="2053" width="17.1640625" style="464" customWidth="1"/>
    <col min="2054" max="2054" width="9.33203125" style="464"/>
    <col min="2055" max="2055" width="12.83203125" style="464" bestFit="1" customWidth="1"/>
    <col min="2056" max="2304" width="9.33203125" style="464"/>
    <col min="2305" max="2305" width="5" style="464" customWidth="1"/>
    <col min="2306" max="2306" width="76.33203125" style="464" customWidth="1"/>
    <col min="2307" max="2307" width="17.1640625" style="464" customWidth="1"/>
    <col min="2308" max="2308" width="19.1640625" style="464" customWidth="1"/>
    <col min="2309" max="2309" width="17.1640625" style="464" customWidth="1"/>
    <col min="2310" max="2310" width="9.33203125" style="464"/>
    <col min="2311" max="2311" width="12.83203125" style="464" bestFit="1" customWidth="1"/>
    <col min="2312" max="2560" width="9.33203125" style="464"/>
    <col min="2561" max="2561" width="5" style="464" customWidth="1"/>
    <col min="2562" max="2562" width="76.33203125" style="464" customWidth="1"/>
    <col min="2563" max="2563" width="17.1640625" style="464" customWidth="1"/>
    <col min="2564" max="2564" width="19.1640625" style="464" customWidth="1"/>
    <col min="2565" max="2565" width="17.1640625" style="464" customWidth="1"/>
    <col min="2566" max="2566" width="9.33203125" style="464"/>
    <col min="2567" max="2567" width="12.83203125" style="464" bestFit="1" customWidth="1"/>
    <col min="2568" max="2816" width="9.33203125" style="464"/>
    <col min="2817" max="2817" width="5" style="464" customWidth="1"/>
    <col min="2818" max="2818" width="76.33203125" style="464" customWidth="1"/>
    <col min="2819" max="2819" width="17.1640625" style="464" customWidth="1"/>
    <col min="2820" max="2820" width="19.1640625" style="464" customWidth="1"/>
    <col min="2821" max="2821" width="17.1640625" style="464" customWidth="1"/>
    <col min="2822" max="2822" width="9.33203125" style="464"/>
    <col min="2823" max="2823" width="12.83203125" style="464" bestFit="1" customWidth="1"/>
    <col min="2824" max="3072" width="9.33203125" style="464"/>
    <col min="3073" max="3073" width="5" style="464" customWidth="1"/>
    <col min="3074" max="3074" width="76.33203125" style="464" customWidth="1"/>
    <col min="3075" max="3075" width="17.1640625" style="464" customWidth="1"/>
    <col min="3076" max="3076" width="19.1640625" style="464" customWidth="1"/>
    <col min="3077" max="3077" width="17.1640625" style="464" customWidth="1"/>
    <col min="3078" max="3078" width="9.33203125" style="464"/>
    <col min="3079" max="3079" width="12.83203125" style="464" bestFit="1" customWidth="1"/>
    <col min="3080" max="3328" width="9.33203125" style="464"/>
    <col min="3329" max="3329" width="5" style="464" customWidth="1"/>
    <col min="3330" max="3330" width="76.33203125" style="464" customWidth="1"/>
    <col min="3331" max="3331" width="17.1640625" style="464" customWidth="1"/>
    <col min="3332" max="3332" width="19.1640625" style="464" customWidth="1"/>
    <col min="3333" max="3333" width="17.1640625" style="464" customWidth="1"/>
    <col min="3334" max="3334" width="9.33203125" style="464"/>
    <col min="3335" max="3335" width="12.83203125" style="464" bestFit="1" customWidth="1"/>
    <col min="3336" max="3584" width="9.33203125" style="464"/>
    <col min="3585" max="3585" width="5" style="464" customWidth="1"/>
    <col min="3586" max="3586" width="76.33203125" style="464" customWidth="1"/>
    <col min="3587" max="3587" width="17.1640625" style="464" customWidth="1"/>
    <col min="3588" max="3588" width="19.1640625" style="464" customWidth="1"/>
    <col min="3589" max="3589" width="17.1640625" style="464" customWidth="1"/>
    <col min="3590" max="3590" width="9.33203125" style="464"/>
    <col min="3591" max="3591" width="12.83203125" style="464" bestFit="1" customWidth="1"/>
    <col min="3592" max="3840" width="9.33203125" style="464"/>
    <col min="3841" max="3841" width="5" style="464" customWidth="1"/>
    <col min="3842" max="3842" width="76.33203125" style="464" customWidth="1"/>
    <col min="3843" max="3843" width="17.1640625" style="464" customWidth="1"/>
    <col min="3844" max="3844" width="19.1640625" style="464" customWidth="1"/>
    <col min="3845" max="3845" width="17.1640625" style="464" customWidth="1"/>
    <col min="3846" max="3846" width="9.33203125" style="464"/>
    <col min="3847" max="3847" width="12.83203125" style="464" bestFit="1" customWidth="1"/>
    <col min="3848" max="4096" width="9.33203125" style="464"/>
    <col min="4097" max="4097" width="5" style="464" customWidth="1"/>
    <col min="4098" max="4098" width="76.33203125" style="464" customWidth="1"/>
    <col min="4099" max="4099" width="17.1640625" style="464" customWidth="1"/>
    <col min="4100" max="4100" width="19.1640625" style="464" customWidth="1"/>
    <col min="4101" max="4101" width="17.1640625" style="464" customWidth="1"/>
    <col min="4102" max="4102" width="9.33203125" style="464"/>
    <col min="4103" max="4103" width="12.83203125" style="464" bestFit="1" customWidth="1"/>
    <col min="4104" max="4352" width="9.33203125" style="464"/>
    <col min="4353" max="4353" width="5" style="464" customWidth="1"/>
    <col min="4354" max="4354" width="76.33203125" style="464" customWidth="1"/>
    <col min="4355" max="4355" width="17.1640625" style="464" customWidth="1"/>
    <col min="4356" max="4356" width="19.1640625" style="464" customWidth="1"/>
    <col min="4357" max="4357" width="17.1640625" style="464" customWidth="1"/>
    <col min="4358" max="4358" width="9.33203125" style="464"/>
    <col min="4359" max="4359" width="12.83203125" style="464" bestFit="1" customWidth="1"/>
    <col min="4360" max="4608" width="9.33203125" style="464"/>
    <col min="4609" max="4609" width="5" style="464" customWidth="1"/>
    <col min="4610" max="4610" width="76.33203125" style="464" customWidth="1"/>
    <col min="4611" max="4611" width="17.1640625" style="464" customWidth="1"/>
    <col min="4612" max="4612" width="19.1640625" style="464" customWidth="1"/>
    <col min="4613" max="4613" width="17.1640625" style="464" customWidth="1"/>
    <col min="4614" max="4614" width="9.33203125" style="464"/>
    <col min="4615" max="4615" width="12.83203125" style="464" bestFit="1" customWidth="1"/>
    <col min="4616" max="4864" width="9.33203125" style="464"/>
    <col min="4865" max="4865" width="5" style="464" customWidth="1"/>
    <col min="4866" max="4866" width="76.33203125" style="464" customWidth="1"/>
    <col min="4867" max="4867" width="17.1640625" style="464" customWidth="1"/>
    <col min="4868" max="4868" width="19.1640625" style="464" customWidth="1"/>
    <col min="4869" max="4869" width="17.1640625" style="464" customWidth="1"/>
    <col min="4870" max="4870" width="9.33203125" style="464"/>
    <col min="4871" max="4871" width="12.83203125" style="464" bestFit="1" customWidth="1"/>
    <col min="4872" max="5120" width="9.33203125" style="464"/>
    <col min="5121" max="5121" width="5" style="464" customWidth="1"/>
    <col min="5122" max="5122" width="76.33203125" style="464" customWidth="1"/>
    <col min="5123" max="5123" width="17.1640625" style="464" customWidth="1"/>
    <col min="5124" max="5124" width="19.1640625" style="464" customWidth="1"/>
    <col min="5125" max="5125" width="17.1640625" style="464" customWidth="1"/>
    <col min="5126" max="5126" width="9.33203125" style="464"/>
    <col min="5127" max="5127" width="12.83203125" style="464" bestFit="1" customWidth="1"/>
    <col min="5128" max="5376" width="9.33203125" style="464"/>
    <col min="5377" max="5377" width="5" style="464" customWidth="1"/>
    <col min="5378" max="5378" width="76.33203125" style="464" customWidth="1"/>
    <col min="5379" max="5379" width="17.1640625" style="464" customWidth="1"/>
    <col min="5380" max="5380" width="19.1640625" style="464" customWidth="1"/>
    <col min="5381" max="5381" width="17.1640625" style="464" customWidth="1"/>
    <col min="5382" max="5382" width="9.33203125" style="464"/>
    <col min="5383" max="5383" width="12.83203125" style="464" bestFit="1" customWidth="1"/>
    <col min="5384" max="5632" width="9.33203125" style="464"/>
    <col min="5633" max="5633" width="5" style="464" customWidth="1"/>
    <col min="5634" max="5634" width="76.33203125" style="464" customWidth="1"/>
    <col min="5635" max="5635" width="17.1640625" style="464" customWidth="1"/>
    <col min="5636" max="5636" width="19.1640625" style="464" customWidth="1"/>
    <col min="5637" max="5637" width="17.1640625" style="464" customWidth="1"/>
    <col min="5638" max="5638" width="9.33203125" style="464"/>
    <col min="5639" max="5639" width="12.83203125" style="464" bestFit="1" customWidth="1"/>
    <col min="5640" max="5888" width="9.33203125" style="464"/>
    <col min="5889" max="5889" width="5" style="464" customWidth="1"/>
    <col min="5890" max="5890" width="76.33203125" style="464" customWidth="1"/>
    <col min="5891" max="5891" width="17.1640625" style="464" customWidth="1"/>
    <col min="5892" max="5892" width="19.1640625" style="464" customWidth="1"/>
    <col min="5893" max="5893" width="17.1640625" style="464" customWidth="1"/>
    <col min="5894" max="5894" width="9.33203125" style="464"/>
    <col min="5895" max="5895" width="12.83203125" style="464" bestFit="1" customWidth="1"/>
    <col min="5896" max="6144" width="9.33203125" style="464"/>
    <col min="6145" max="6145" width="5" style="464" customWidth="1"/>
    <col min="6146" max="6146" width="76.33203125" style="464" customWidth="1"/>
    <col min="6147" max="6147" width="17.1640625" style="464" customWidth="1"/>
    <col min="6148" max="6148" width="19.1640625" style="464" customWidth="1"/>
    <col min="6149" max="6149" width="17.1640625" style="464" customWidth="1"/>
    <col min="6150" max="6150" width="9.33203125" style="464"/>
    <col min="6151" max="6151" width="12.83203125" style="464" bestFit="1" customWidth="1"/>
    <col min="6152" max="6400" width="9.33203125" style="464"/>
    <col min="6401" max="6401" width="5" style="464" customWidth="1"/>
    <col min="6402" max="6402" width="76.33203125" style="464" customWidth="1"/>
    <col min="6403" max="6403" width="17.1640625" style="464" customWidth="1"/>
    <col min="6404" max="6404" width="19.1640625" style="464" customWidth="1"/>
    <col min="6405" max="6405" width="17.1640625" style="464" customWidth="1"/>
    <col min="6406" max="6406" width="9.33203125" style="464"/>
    <col min="6407" max="6407" width="12.83203125" style="464" bestFit="1" customWidth="1"/>
    <col min="6408" max="6656" width="9.33203125" style="464"/>
    <col min="6657" max="6657" width="5" style="464" customWidth="1"/>
    <col min="6658" max="6658" width="76.33203125" style="464" customWidth="1"/>
    <col min="6659" max="6659" width="17.1640625" style="464" customWidth="1"/>
    <col min="6660" max="6660" width="19.1640625" style="464" customWidth="1"/>
    <col min="6661" max="6661" width="17.1640625" style="464" customWidth="1"/>
    <col min="6662" max="6662" width="9.33203125" style="464"/>
    <col min="6663" max="6663" width="12.83203125" style="464" bestFit="1" customWidth="1"/>
    <col min="6664" max="6912" width="9.33203125" style="464"/>
    <col min="6913" max="6913" width="5" style="464" customWidth="1"/>
    <col min="6914" max="6914" width="76.33203125" style="464" customWidth="1"/>
    <col min="6915" max="6915" width="17.1640625" style="464" customWidth="1"/>
    <col min="6916" max="6916" width="19.1640625" style="464" customWidth="1"/>
    <col min="6917" max="6917" width="17.1640625" style="464" customWidth="1"/>
    <col min="6918" max="6918" width="9.33203125" style="464"/>
    <col min="6919" max="6919" width="12.83203125" style="464" bestFit="1" customWidth="1"/>
    <col min="6920" max="7168" width="9.33203125" style="464"/>
    <col min="7169" max="7169" width="5" style="464" customWidth="1"/>
    <col min="7170" max="7170" width="76.33203125" style="464" customWidth="1"/>
    <col min="7171" max="7171" width="17.1640625" style="464" customWidth="1"/>
    <col min="7172" max="7172" width="19.1640625" style="464" customWidth="1"/>
    <col min="7173" max="7173" width="17.1640625" style="464" customWidth="1"/>
    <col min="7174" max="7174" width="9.33203125" style="464"/>
    <col min="7175" max="7175" width="12.83203125" style="464" bestFit="1" customWidth="1"/>
    <col min="7176" max="7424" width="9.33203125" style="464"/>
    <col min="7425" max="7425" width="5" style="464" customWidth="1"/>
    <col min="7426" max="7426" width="76.33203125" style="464" customWidth="1"/>
    <col min="7427" max="7427" width="17.1640625" style="464" customWidth="1"/>
    <col min="7428" max="7428" width="19.1640625" style="464" customWidth="1"/>
    <col min="7429" max="7429" width="17.1640625" style="464" customWidth="1"/>
    <col min="7430" max="7430" width="9.33203125" style="464"/>
    <col min="7431" max="7431" width="12.83203125" style="464" bestFit="1" customWidth="1"/>
    <col min="7432" max="7680" width="9.33203125" style="464"/>
    <col min="7681" max="7681" width="5" style="464" customWidth="1"/>
    <col min="7682" max="7682" width="76.33203125" style="464" customWidth="1"/>
    <col min="7683" max="7683" width="17.1640625" style="464" customWidth="1"/>
    <col min="7684" max="7684" width="19.1640625" style="464" customWidth="1"/>
    <col min="7685" max="7685" width="17.1640625" style="464" customWidth="1"/>
    <col min="7686" max="7686" width="9.33203125" style="464"/>
    <col min="7687" max="7687" width="12.83203125" style="464" bestFit="1" customWidth="1"/>
    <col min="7688" max="7936" width="9.33203125" style="464"/>
    <col min="7937" max="7937" width="5" style="464" customWidth="1"/>
    <col min="7938" max="7938" width="76.33203125" style="464" customWidth="1"/>
    <col min="7939" max="7939" width="17.1640625" style="464" customWidth="1"/>
    <col min="7940" max="7940" width="19.1640625" style="464" customWidth="1"/>
    <col min="7941" max="7941" width="17.1640625" style="464" customWidth="1"/>
    <col min="7942" max="7942" width="9.33203125" style="464"/>
    <col min="7943" max="7943" width="12.83203125" style="464" bestFit="1" customWidth="1"/>
    <col min="7944" max="8192" width="9.33203125" style="464"/>
    <col min="8193" max="8193" width="5" style="464" customWidth="1"/>
    <col min="8194" max="8194" width="76.33203125" style="464" customWidth="1"/>
    <col min="8195" max="8195" width="17.1640625" style="464" customWidth="1"/>
    <col min="8196" max="8196" width="19.1640625" style="464" customWidth="1"/>
    <col min="8197" max="8197" width="17.1640625" style="464" customWidth="1"/>
    <col min="8198" max="8198" width="9.33203125" style="464"/>
    <col min="8199" max="8199" width="12.83203125" style="464" bestFit="1" customWidth="1"/>
    <col min="8200" max="8448" width="9.33203125" style="464"/>
    <col min="8449" max="8449" width="5" style="464" customWidth="1"/>
    <col min="8450" max="8450" width="76.33203125" style="464" customWidth="1"/>
    <col min="8451" max="8451" width="17.1640625" style="464" customWidth="1"/>
    <col min="8452" max="8452" width="19.1640625" style="464" customWidth="1"/>
    <col min="8453" max="8453" width="17.1640625" style="464" customWidth="1"/>
    <col min="8454" max="8454" width="9.33203125" style="464"/>
    <col min="8455" max="8455" width="12.83203125" style="464" bestFit="1" customWidth="1"/>
    <col min="8456" max="8704" width="9.33203125" style="464"/>
    <col min="8705" max="8705" width="5" style="464" customWidth="1"/>
    <col min="8706" max="8706" width="76.33203125" style="464" customWidth="1"/>
    <col min="8707" max="8707" width="17.1640625" style="464" customWidth="1"/>
    <col min="8708" max="8708" width="19.1640625" style="464" customWidth="1"/>
    <col min="8709" max="8709" width="17.1640625" style="464" customWidth="1"/>
    <col min="8710" max="8710" width="9.33203125" style="464"/>
    <col min="8711" max="8711" width="12.83203125" style="464" bestFit="1" customWidth="1"/>
    <col min="8712" max="8960" width="9.33203125" style="464"/>
    <col min="8961" max="8961" width="5" style="464" customWidth="1"/>
    <col min="8962" max="8962" width="76.33203125" style="464" customWidth="1"/>
    <col min="8963" max="8963" width="17.1640625" style="464" customWidth="1"/>
    <col min="8964" max="8964" width="19.1640625" style="464" customWidth="1"/>
    <col min="8965" max="8965" width="17.1640625" style="464" customWidth="1"/>
    <col min="8966" max="8966" width="9.33203125" style="464"/>
    <col min="8967" max="8967" width="12.83203125" style="464" bestFit="1" customWidth="1"/>
    <col min="8968" max="9216" width="9.33203125" style="464"/>
    <col min="9217" max="9217" width="5" style="464" customWidth="1"/>
    <col min="9218" max="9218" width="76.33203125" style="464" customWidth="1"/>
    <col min="9219" max="9219" width="17.1640625" style="464" customWidth="1"/>
    <col min="9220" max="9220" width="19.1640625" style="464" customWidth="1"/>
    <col min="9221" max="9221" width="17.1640625" style="464" customWidth="1"/>
    <col min="9222" max="9222" width="9.33203125" style="464"/>
    <col min="9223" max="9223" width="12.83203125" style="464" bestFit="1" customWidth="1"/>
    <col min="9224" max="9472" width="9.33203125" style="464"/>
    <col min="9473" max="9473" width="5" style="464" customWidth="1"/>
    <col min="9474" max="9474" width="76.33203125" style="464" customWidth="1"/>
    <col min="9475" max="9475" width="17.1640625" style="464" customWidth="1"/>
    <col min="9476" max="9476" width="19.1640625" style="464" customWidth="1"/>
    <col min="9477" max="9477" width="17.1640625" style="464" customWidth="1"/>
    <col min="9478" max="9478" width="9.33203125" style="464"/>
    <col min="9479" max="9479" width="12.83203125" style="464" bestFit="1" customWidth="1"/>
    <col min="9480" max="9728" width="9.33203125" style="464"/>
    <col min="9729" max="9729" width="5" style="464" customWidth="1"/>
    <col min="9730" max="9730" width="76.33203125" style="464" customWidth="1"/>
    <col min="9731" max="9731" width="17.1640625" style="464" customWidth="1"/>
    <col min="9732" max="9732" width="19.1640625" style="464" customWidth="1"/>
    <col min="9733" max="9733" width="17.1640625" style="464" customWidth="1"/>
    <col min="9734" max="9734" width="9.33203125" style="464"/>
    <col min="9735" max="9735" width="12.83203125" style="464" bestFit="1" customWidth="1"/>
    <col min="9736" max="9984" width="9.33203125" style="464"/>
    <col min="9985" max="9985" width="5" style="464" customWidth="1"/>
    <col min="9986" max="9986" width="76.33203125" style="464" customWidth="1"/>
    <col min="9987" max="9987" width="17.1640625" style="464" customWidth="1"/>
    <col min="9988" max="9988" width="19.1640625" style="464" customWidth="1"/>
    <col min="9989" max="9989" width="17.1640625" style="464" customWidth="1"/>
    <col min="9990" max="9990" width="9.33203125" style="464"/>
    <col min="9991" max="9991" width="12.83203125" style="464" bestFit="1" customWidth="1"/>
    <col min="9992" max="10240" width="9.33203125" style="464"/>
    <col min="10241" max="10241" width="5" style="464" customWidth="1"/>
    <col min="10242" max="10242" width="76.33203125" style="464" customWidth="1"/>
    <col min="10243" max="10243" width="17.1640625" style="464" customWidth="1"/>
    <col min="10244" max="10244" width="19.1640625" style="464" customWidth="1"/>
    <col min="10245" max="10245" width="17.1640625" style="464" customWidth="1"/>
    <col min="10246" max="10246" width="9.33203125" style="464"/>
    <col min="10247" max="10247" width="12.83203125" style="464" bestFit="1" customWidth="1"/>
    <col min="10248" max="10496" width="9.33203125" style="464"/>
    <col min="10497" max="10497" width="5" style="464" customWidth="1"/>
    <col min="10498" max="10498" width="76.33203125" style="464" customWidth="1"/>
    <col min="10499" max="10499" width="17.1640625" style="464" customWidth="1"/>
    <col min="10500" max="10500" width="19.1640625" style="464" customWidth="1"/>
    <col min="10501" max="10501" width="17.1640625" style="464" customWidth="1"/>
    <col min="10502" max="10502" width="9.33203125" style="464"/>
    <col min="10503" max="10503" width="12.83203125" style="464" bestFit="1" customWidth="1"/>
    <col min="10504" max="10752" width="9.33203125" style="464"/>
    <col min="10753" max="10753" width="5" style="464" customWidth="1"/>
    <col min="10754" max="10754" width="76.33203125" style="464" customWidth="1"/>
    <col min="10755" max="10755" width="17.1640625" style="464" customWidth="1"/>
    <col min="10756" max="10756" width="19.1640625" style="464" customWidth="1"/>
    <col min="10757" max="10757" width="17.1640625" style="464" customWidth="1"/>
    <col min="10758" max="10758" width="9.33203125" style="464"/>
    <col min="10759" max="10759" width="12.83203125" style="464" bestFit="1" customWidth="1"/>
    <col min="10760" max="11008" width="9.33203125" style="464"/>
    <col min="11009" max="11009" width="5" style="464" customWidth="1"/>
    <col min="11010" max="11010" width="76.33203125" style="464" customWidth="1"/>
    <col min="11011" max="11011" width="17.1640625" style="464" customWidth="1"/>
    <col min="11012" max="11012" width="19.1640625" style="464" customWidth="1"/>
    <col min="11013" max="11013" width="17.1640625" style="464" customWidth="1"/>
    <col min="11014" max="11014" width="9.33203125" style="464"/>
    <col min="11015" max="11015" width="12.83203125" style="464" bestFit="1" customWidth="1"/>
    <col min="11016" max="11264" width="9.33203125" style="464"/>
    <col min="11265" max="11265" width="5" style="464" customWidth="1"/>
    <col min="11266" max="11266" width="76.33203125" style="464" customWidth="1"/>
    <col min="11267" max="11267" width="17.1640625" style="464" customWidth="1"/>
    <col min="11268" max="11268" width="19.1640625" style="464" customWidth="1"/>
    <col min="11269" max="11269" width="17.1640625" style="464" customWidth="1"/>
    <col min="11270" max="11270" width="9.33203125" style="464"/>
    <col min="11271" max="11271" width="12.83203125" style="464" bestFit="1" customWidth="1"/>
    <col min="11272" max="11520" width="9.33203125" style="464"/>
    <col min="11521" max="11521" width="5" style="464" customWidth="1"/>
    <col min="11522" max="11522" width="76.33203125" style="464" customWidth="1"/>
    <col min="11523" max="11523" width="17.1640625" style="464" customWidth="1"/>
    <col min="11524" max="11524" width="19.1640625" style="464" customWidth="1"/>
    <col min="11525" max="11525" width="17.1640625" style="464" customWidth="1"/>
    <col min="11526" max="11526" width="9.33203125" style="464"/>
    <col min="11527" max="11527" width="12.83203125" style="464" bestFit="1" customWidth="1"/>
    <col min="11528" max="11776" width="9.33203125" style="464"/>
    <col min="11777" max="11777" width="5" style="464" customWidth="1"/>
    <col min="11778" max="11778" width="76.33203125" style="464" customWidth="1"/>
    <col min="11779" max="11779" width="17.1640625" style="464" customWidth="1"/>
    <col min="11780" max="11780" width="19.1640625" style="464" customWidth="1"/>
    <col min="11781" max="11781" width="17.1640625" style="464" customWidth="1"/>
    <col min="11782" max="11782" width="9.33203125" style="464"/>
    <col min="11783" max="11783" width="12.83203125" style="464" bestFit="1" customWidth="1"/>
    <col min="11784" max="12032" width="9.33203125" style="464"/>
    <col min="12033" max="12033" width="5" style="464" customWidth="1"/>
    <col min="12034" max="12034" width="76.33203125" style="464" customWidth="1"/>
    <col min="12035" max="12035" width="17.1640625" style="464" customWidth="1"/>
    <col min="12036" max="12036" width="19.1640625" style="464" customWidth="1"/>
    <col min="12037" max="12037" width="17.1640625" style="464" customWidth="1"/>
    <col min="12038" max="12038" width="9.33203125" style="464"/>
    <col min="12039" max="12039" width="12.83203125" style="464" bestFit="1" customWidth="1"/>
    <col min="12040" max="12288" width="9.33203125" style="464"/>
    <col min="12289" max="12289" width="5" style="464" customWidth="1"/>
    <col min="12290" max="12290" width="76.33203125" style="464" customWidth="1"/>
    <col min="12291" max="12291" width="17.1640625" style="464" customWidth="1"/>
    <col min="12292" max="12292" width="19.1640625" style="464" customWidth="1"/>
    <col min="12293" max="12293" width="17.1640625" style="464" customWidth="1"/>
    <col min="12294" max="12294" width="9.33203125" style="464"/>
    <col min="12295" max="12295" width="12.83203125" style="464" bestFit="1" customWidth="1"/>
    <col min="12296" max="12544" width="9.33203125" style="464"/>
    <col min="12545" max="12545" width="5" style="464" customWidth="1"/>
    <col min="12546" max="12546" width="76.33203125" style="464" customWidth="1"/>
    <col min="12547" max="12547" width="17.1640625" style="464" customWidth="1"/>
    <col min="12548" max="12548" width="19.1640625" style="464" customWidth="1"/>
    <col min="12549" max="12549" width="17.1640625" style="464" customWidth="1"/>
    <col min="12550" max="12550" width="9.33203125" style="464"/>
    <col min="12551" max="12551" width="12.83203125" style="464" bestFit="1" customWidth="1"/>
    <col min="12552" max="12800" width="9.33203125" style="464"/>
    <col min="12801" max="12801" width="5" style="464" customWidth="1"/>
    <col min="12802" max="12802" width="76.33203125" style="464" customWidth="1"/>
    <col min="12803" max="12803" width="17.1640625" style="464" customWidth="1"/>
    <col min="12804" max="12804" width="19.1640625" style="464" customWidth="1"/>
    <col min="12805" max="12805" width="17.1640625" style="464" customWidth="1"/>
    <col min="12806" max="12806" width="9.33203125" style="464"/>
    <col min="12807" max="12807" width="12.83203125" style="464" bestFit="1" customWidth="1"/>
    <col min="12808" max="13056" width="9.33203125" style="464"/>
    <col min="13057" max="13057" width="5" style="464" customWidth="1"/>
    <col min="13058" max="13058" width="76.33203125" style="464" customWidth="1"/>
    <col min="13059" max="13059" width="17.1640625" style="464" customWidth="1"/>
    <col min="13060" max="13060" width="19.1640625" style="464" customWidth="1"/>
    <col min="13061" max="13061" width="17.1640625" style="464" customWidth="1"/>
    <col min="13062" max="13062" width="9.33203125" style="464"/>
    <col min="13063" max="13063" width="12.83203125" style="464" bestFit="1" customWidth="1"/>
    <col min="13064" max="13312" width="9.33203125" style="464"/>
    <col min="13313" max="13313" width="5" style="464" customWidth="1"/>
    <col min="13314" max="13314" width="76.33203125" style="464" customWidth="1"/>
    <col min="13315" max="13315" width="17.1640625" style="464" customWidth="1"/>
    <col min="13316" max="13316" width="19.1640625" style="464" customWidth="1"/>
    <col min="13317" max="13317" width="17.1640625" style="464" customWidth="1"/>
    <col min="13318" max="13318" width="9.33203125" style="464"/>
    <col min="13319" max="13319" width="12.83203125" style="464" bestFit="1" customWidth="1"/>
    <col min="13320" max="13568" width="9.33203125" style="464"/>
    <col min="13569" max="13569" width="5" style="464" customWidth="1"/>
    <col min="13570" max="13570" width="76.33203125" style="464" customWidth="1"/>
    <col min="13571" max="13571" width="17.1640625" style="464" customWidth="1"/>
    <col min="13572" max="13572" width="19.1640625" style="464" customWidth="1"/>
    <col min="13573" max="13573" width="17.1640625" style="464" customWidth="1"/>
    <col min="13574" max="13574" width="9.33203125" style="464"/>
    <col min="13575" max="13575" width="12.83203125" style="464" bestFit="1" customWidth="1"/>
    <col min="13576" max="13824" width="9.33203125" style="464"/>
    <col min="13825" max="13825" width="5" style="464" customWidth="1"/>
    <col min="13826" max="13826" width="76.33203125" style="464" customWidth="1"/>
    <col min="13827" max="13827" width="17.1640625" style="464" customWidth="1"/>
    <col min="13828" max="13828" width="19.1640625" style="464" customWidth="1"/>
    <col min="13829" max="13829" width="17.1640625" style="464" customWidth="1"/>
    <col min="13830" max="13830" width="9.33203125" style="464"/>
    <col min="13831" max="13831" width="12.83203125" style="464" bestFit="1" customWidth="1"/>
    <col min="13832" max="14080" width="9.33203125" style="464"/>
    <col min="14081" max="14081" width="5" style="464" customWidth="1"/>
    <col min="14082" max="14082" width="76.33203125" style="464" customWidth="1"/>
    <col min="14083" max="14083" width="17.1640625" style="464" customWidth="1"/>
    <col min="14084" max="14084" width="19.1640625" style="464" customWidth="1"/>
    <col min="14085" max="14085" width="17.1640625" style="464" customWidth="1"/>
    <col min="14086" max="14086" width="9.33203125" style="464"/>
    <col min="14087" max="14087" width="12.83203125" style="464" bestFit="1" customWidth="1"/>
    <col min="14088" max="14336" width="9.33203125" style="464"/>
    <col min="14337" max="14337" width="5" style="464" customWidth="1"/>
    <col min="14338" max="14338" width="76.33203125" style="464" customWidth="1"/>
    <col min="14339" max="14339" width="17.1640625" style="464" customWidth="1"/>
    <col min="14340" max="14340" width="19.1640625" style="464" customWidth="1"/>
    <col min="14341" max="14341" width="17.1640625" style="464" customWidth="1"/>
    <col min="14342" max="14342" width="9.33203125" style="464"/>
    <col min="14343" max="14343" width="12.83203125" style="464" bestFit="1" customWidth="1"/>
    <col min="14344" max="14592" width="9.33203125" style="464"/>
    <col min="14593" max="14593" width="5" style="464" customWidth="1"/>
    <col min="14594" max="14594" width="76.33203125" style="464" customWidth="1"/>
    <col min="14595" max="14595" width="17.1640625" style="464" customWidth="1"/>
    <col min="14596" max="14596" width="19.1640625" style="464" customWidth="1"/>
    <col min="14597" max="14597" width="17.1640625" style="464" customWidth="1"/>
    <col min="14598" max="14598" width="9.33203125" style="464"/>
    <col min="14599" max="14599" width="12.83203125" style="464" bestFit="1" customWidth="1"/>
    <col min="14600" max="14848" width="9.33203125" style="464"/>
    <col min="14849" max="14849" width="5" style="464" customWidth="1"/>
    <col min="14850" max="14850" width="76.33203125" style="464" customWidth="1"/>
    <col min="14851" max="14851" width="17.1640625" style="464" customWidth="1"/>
    <col min="14852" max="14852" width="19.1640625" style="464" customWidth="1"/>
    <col min="14853" max="14853" width="17.1640625" style="464" customWidth="1"/>
    <col min="14854" max="14854" width="9.33203125" style="464"/>
    <col min="14855" max="14855" width="12.83203125" style="464" bestFit="1" customWidth="1"/>
    <col min="14856" max="15104" width="9.33203125" style="464"/>
    <col min="15105" max="15105" width="5" style="464" customWidth="1"/>
    <col min="15106" max="15106" width="76.33203125" style="464" customWidth="1"/>
    <col min="15107" max="15107" width="17.1640625" style="464" customWidth="1"/>
    <col min="15108" max="15108" width="19.1640625" style="464" customWidth="1"/>
    <col min="15109" max="15109" width="17.1640625" style="464" customWidth="1"/>
    <col min="15110" max="15110" width="9.33203125" style="464"/>
    <col min="15111" max="15111" width="12.83203125" style="464" bestFit="1" customWidth="1"/>
    <col min="15112" max="15360" width="9.33203125" style="464"/>
    <col min="15361" max="15361" width="5" style="464" customWidth="1"/>
    <col min="15362" max="15362" width="76.33203125" style="464" customWidth="1"/>
    <col min="15363" max="15363" width="17.1640625" style="464" customWidth="1"/>
    <col min="15364" max="15364" width="19.1640625" style="464" customWidth="1"/>
    <col min="15365" max="15365" width="17.1640625" style="464" customWidth="1"/>
    <col min="15366" max="15366" width="9.33203125" style="464"/>
    <col min="15367" max="15367" width="12.83203125" style="464" bestFit="1" customWidth="1"/>
    <col min="15368" max="15616" width="9.33203125" style="464"/>
    <col min="15617" max="15617" width="5" style="464" customWidth="1"/>
    <col min="15618" max="15618" width="76.33203125" style="464" customWidth="1"/>
    <col min="15619" max="15619" width="17.1640625" style="464" customWidth="1"/>
    <col min="15620" max="15620" width="19.1640625" style="464" customWidth="1"/>
    <col min="15621" max="15621" width="17.1640625" style="464" customWidth="1"/>
    <col min="15622" max="15622" width="9.33203125" style="464"/>
    <col min="15623" max="15623" width="12.83203125" style="464" bestFit="1" customWidth="1"/>
    <col min="15624" max="15872" width="9.33203125" style="464"/>
    <col min="15873" max="15873" width="5" style="464" customWidth="1"/>
    <col min="15874" max="15874" width="76.33203125" style="464" customWidth="1"/>
    <col min="15875" max="15875" width="17.1640625" style="464" customWidth="1"/>
    <col min="15876" max="15876" width="19.1640625" style="464" customWidth="1"/>
    <col min="15877" max="15877" width="17.1640625" style="464" customWidth="1"/>
    <col min="15878" max="15878" width="9.33203125" style="464"/>
    <col min="15879" max="15879" width="12.83203125" style="464" bestFit="1" customWidth="1"/>
    <col min="15880" max="16128" width="9.33203125" style="464"/>
    <col min="16129" max="16129" width="5" style="464" customWidth="1"/>
    <col min="16130" max="16130" width="76.33203125" style="464" customWidth="1"/>
    <col min="16131" max="16131" width="17.1640625" style="464" customWidth="1"/>
    <col min="16132" max="16132" width="19.1640625" style="464" customWidth="1"/>
    <col min="16133" max="16133" width="17.1640625" style="464" customWidth="1"/>
    <col min="16134" max="16134" width="9.33203125" style="464"/>
    <col min="16135" max="16135" width="12.83203125" style="464" bestFit="1" customWidth="1"/>
    <col min="16136" max="16384" width="9.33203125" style="464"/>
  </cols>
  <sheetData>
    <row r="1" spans="1:7" ht="36.75" customHeight="1" x14ac:dyDescent="0.25">
      <c r="A1" s="1204" t="s">
        <v>751</v>
      </c>
      <c r="B1" s="1204"/>
      <c r="C1" s="1204"/>
      <c r="D1" s="1204"/>
      <c r="E1" s="1204"/>
    </row>
    <row r="2" spans="1:7" ht="15" customHeight="1" x14ac:dyDescent="0.25">
      <c r="A2" s="457"/>
      <c r="B2" s="457"/>
      <c r="C2" s="457" t="s">
        <v>544</v>
      </c>
      <c r="D2" s="457"/>
      <c r="E2" s="457"/>
    </row>
    <row r="3" spans="1:7" x14ac:dyDescent="0.25">
      <c r="A3" s="117"/>
      <c r="B3" s="117"/>
      <c r="C3" s="465"/>
      <c r="D3" s="465"/>
      <c r="E3" s="480" t="s">
        <v>495</v>
      </c>
    </row>
    <row r="4" spans="1:7" s="466" customFormat="1" ht="71.25" x14ac:dyDescent="0.2">
      <c r="A4" s="813" t="s">
        <v>365</v>
      </c>
      <c r="B4" s="814" t="s">
        <v>538</v>
      </c>
      <c r="C4" s="815" t="s">
        <v>752</v>
      </c>
      <c r="D4" s="815" t="s">
        <v>753</v>
      </c>
      <c r="E4" s="816" t="s">
        <v>539</v>
      </c>
      <c r="G4" s="467"/>
    </row>
    <row r="5" spans="1:7" s="466" customFormat="1" ht="12" customHeight="1" x14ac:dyDescent="0.2">
      <c r="A5" s="817">
        <v>1</v>
      </c>
      <c r="B5" s="818">
        <v>2</v>
      </c>
      <c r="C5" s="819">
        <v>3</v>
      </c>
      <c r="D5" s="819">
        <v>4</v>
      </c>
      <c r="E5" s="820">
        <v>5</v>
      </c>
    </row>
    <row r="6" spans="1:7" s="466" customFormat="1" ht="18" customHeight="1" x14ac:dyDescent="0.25">
      <c r="A6" s="821" t="s">
        <v>9</v>
      </c>
      <c r="B6" s="476"/>
      <c r="C6" s="477">
        <v>0</v>
      </c>
      <c r="D6" s="477">
        <v>0</v>
      </c>
      <c r="E6" s="478"/>
    </row>
    <row r="7" spans="1:7" s="466" customFormat="1" ht="18" customHeight="1" x14ac:dyDescent="0.25">
      <c r="A7" s="822" t="s">
        <v>12</v>
      </c>
      <c r="B7" s="472"/>
      <c r="C7" s="473">
        <v>0</v>
      </c>
      <c r="D7" s="473">
        <v>0</v>
      </c>
      <c r="E7" s="479"/>
    </row>
    <row r="8" spans="1:7" s="466" customFormat="1" ht="18" customHeight="1" x14ac:dyDescent="0.25">
      <c r="A8" s="822" t="s">
        <v>15</v>
      </c>
      <c r="B8" s="474"/>
      <c r="C8" s="473"/>
      <c r="D8" s="473"/>
      <c r="E8" s="479"/>
    </row>
    <row r="9" spans="1:7" s="466" customFormat="1" ht="18" customHeight="1" x14ac:dyDescent="0.25">
      <c r="A9" s="821" t="s">
        <v>18</v>
      </c>
      <c r="B9" s="472"/>
      <c r="C9" s="475"/>
      <c r="D9" s="475"/>
      <c r="E9" s="479"/>
    </row>
    <row r="10" spans="1:7" s="466" customFormat="1" ht="18" customHeight="1" x14ac:dyDescent="0.2">
      <c r="A10" s="822" t="s">
        <v>21</v>
      </c>
      <c r="B10" s="823"/>
      <c r="C10" s="824"/>
      <c r="D10" s="824"/>
      <c r="E10" s="479"/>
    </row>
    <row r="11" spans="1:7" s="466" customFormat="1" ht="18" customHeight="1" x14ac:dyDescent="0.2">
      <c r="A11" s="822" t="s">
        <v>24</v>
      </c>
      <c r="B11" s="825"/>
      <c r="C11" s="475"/>
      <c r="D11" s="475"/>
      <c r="E11" s="479"/>
    </row>
    <row r="12" spans="1:7" s="466" customFormat="1" ht="18" customHeight="1" x14ac:dyDescent="0.2">
      <c r="A12" s="821" t="s">
        <v>27</v>
      </c>
      <c r="B12" s="825"/>
      <c r="C12" s="475"/>
      <c r="D12" s="475"/>
      <c r="E12" s="479"/>
    </row>
    <row r="13" spans="1:7" s="466" customFormat="1" ht="18" customHeight="1" x14ac:dyDescent="0.2">
      <c r="A13" s="822" t="s">
        <v>30</v>
      </c>
      <c r="B13" s="825"/>
      <c r="C13" s="475"/>
      <c r="D13" s="475"/>
      <c r="E13" s="479"/>
    </row>
    <row r="14" spans="1:7" s="466" customFormat="1" ht="18" customHeight="1" x14ac:dyDescent="0.2">
      <c r="A14" s="822" t="s">
        <v>33</v>
      </c>
      <c r="B14" s="825"/>
      <c r="C14" s="475"/>
      <c r="D14" s="475"/>
      <c r="E14" s="479"/>
    </row>
    <row r="15" spans="1:7" s="466" customFormat="1" ht="18" customHeight="1" x14ac:dyDescent="0.2">
      <c r="A15" s="826" t="s">
        <v>36</v>
      </c>
      <c r="B15" s="827"/>
      <c r="C15" s="828"/>
      <c r="D15" s="828"/>
      <c r="E15" s="829"/>
    </row>
    <row r="16" spans="1:7" s="466" customFormat="1" x14ac:dyDescent="0.2">
      <c r="A16" s="830" t="s">
        <v>38</v>
      </c>
      <c r="B16" s="831" t="s">
        <v>540</v>
      </c>
      <c r="C16" s="832">
        <f>SUM(C6:C15)</f>
        <v>0</v>
      </c>
      <c r="D16" s="832">
        <f>SUM(D6:D15)</f>
        <v>0</v>
      </c>
      <c r="E16" s="833">
        <f>SUM(E6:E15)</f>
        <v>0</v>
      </c>
    </row>
    <row r="17" spans="1:6" s="466" customFormat="1" x14ac:dyDescent="0.25">
      <c r="A17" s="826" t="s">
        <v>40</v>
      </c>
      <c r="B17" s="834"/>
      <c r="C17" s="835"/>
      <c r="D17" s="835"/>
      <c r="E17" s="836"/>
    </row>
    <row r="18" spans="1:6" s="466" customFormat="1" x14ac:dyDescent="0.2">
      <c r="A18" s="830" t="s">
        <v>42</v>
      </c>
      <c r="B18" s="831" t="s">
        <v>541</v>
      </c>
      <c r="C18" s="832">
        <f>SUM(C17:C17)</f>
        <v>0</v>
      </c>
      <c r="D18" s="832">
        <f>SUM(D17:D17)</f>
        <v>0</v>
      </c>
      <c r="E18" s="833">
        <f>SUM(E17:E17)</f>
        <v>0</v>
      </c>
    </row>
    <row r="19" spans="1:6" s="466" customFormat="1" x14ac:dyDescent="0.25">
      <c r="A19" s="821" t="s">
        <v>44</v>
      </c>
      <c r="B19" s="837"/>
      <c r="C19" s="838"/>
      <c r="D19" s="838"/>
      <c r="E19" s="478"/>
    </row>
    <row r="20" spans="1:6" s="466" customFormat="1" x14ac:dyDescent="0.25">
      <c r="A20" s="822" t="s">
        <v>46</v>
      </c>
      <c r="B20" s="839"/>
      <c r="C20" s="840"/>
      <c r="D20" s="840"/>
      <c r="E20" s="479"/>
    </row>
    <row r="21" spans="1:6" s="466" customFormat="1" x14ac:dyDescent="0.25">
      <c r="A21" s="821" t="s">
        <v>48</v>
      </c>
      <c r="B21" s="841"/>
      <c r="C21" s="842"/>
      <c r="D21" s="842"/>
      <c r="E21" s="479"/>
    </row>
    <row r="22" spans="1:6" s="466" customFormat="1" x14ac:dyDescent="0.25">
      <c r="A22" s="822" t="s">
        <v>50</v>
      </c>
      <c r="B22" s="841"/>
      <c r="C22" s="842"/>
      <c r="D22" s="842"/>
      <c r="E22" s="479"/>
    </row>
    <row r="23" spans="1:6" s="466" customFormat="1" x14ac:dyDescent="0.25">
      <c r="A23" s="843" t="s">
        <v>53</v>
      </c>
      <c r="B23" s="844"/>
      <c r="C23" s="845"/>
      <c r="D23" s="845"/>
      <c r="E23" s="829"/>
    </row>
    <row r="24" spans="1:6" s="466" customFormat="1" x14ac:dyDescent="0.2">
      <c r="A24" s="830" t="s">
        <v>56</v>
      </c>
      <c r="B24" s="831" t="s">
        <v>542</v>
      </c>
      <c r="C24" s="832">
        <f>SUM(C19:C23)</f>
        <v>0</v>
      </c>
      <c r="D24" s="832">
        <f>SUM(D19:D23)</f>
        <v>0</v>
      </c>
      <c r="E24" s="833">
        <f>SUM(E19:E23)</f>
        <v>0</v>
      </c>
    </row>
    <row r="25" spans="1:6" s="466" customFormat="1" ht="27" customHeight="1" x14ac:dyDescent="0.2">
      <c r="A25" s="846" t="s">
        <v>59</v>
      </c>
      <c r="B25" s="847" t="s">
        <v>543</v>
      </c>
      <c r="C25" s="848">
        <f>SUM(C24,C18,C16)</f>
        <v>0</v>
      </c>
      <c r="D25" s="848">
        <f>SUM(D24,D18,D16)</f>
        <v>0</v>
      </c>
      <c r="E25" s="849">
        <f>SUM(E24,E18,E16)</f>
        <v>0</v>
      </c>
    </row>
    <row r="28" spans="1:6" x14ac:dyDescent="0.25">
      <c r="A28" s="468"/>
      <c r="B28" s="469"/>
      <c r="C28" s="468"/>
      <c r="D28" s="468"/>
      <c r="E28" s="468"/>
    </row>
    <row r="29" spans="1:6" x14ac:dyDescent="0.25">
      <c r="A29" s="468"/>
      <c r="B29" s="469"/>
      <c r="C29" s="468"/>
      <c r="D29" s="468"/>
      <c r="E29" s="468"/>
    </row>
    <row r="30" spans="1:6" x14ac:dyDescent="0.25">
      <c r="A30" s="468"/>
      <c r="B30" s="469"/>
      <c r="C30" s="468"/>
      <c r="D30" s="468"/>
      <c r="E30" s="468"/>
      <c r="F30" s="470"/>
    </row>
    <row r="31" spans="1:6" x14ac:dyDescent="0.25">
      <c r="A31" s="468"/>
      <c r="B31" s="469"/>
      <c r="C31" s="468"/>
      <c r="D31" s="468"/>
      <c r="E31" s="468"/>
    </row>
    <row r="32" spans="1:6" x14ac:dyDescent="0.25">
      <c r="A32" s="468"/>
      <c r="B32" s="469"/>
      <c r="C32" s="468"/>
      <c r="D32" s="468"/>
      <c r="E32" s="468"/>
    </row>
    <row r="33" spans="1:5" x14ac:dyDescent="0.25">
      <c r="A33" s="468"/>
      <c r="B33" s="469"/>
      <c r="C33" s="468"/>
      <c r="D33" s="468"/>
      <c r="E33" s="468"/>
    </row>
    <row r="34" spans="1:5" x14ac:dyDescent="0.25">
      <c r="A34" s="468"/>
      <c r="B34" s="469"/>
      <c r="C34" s="468"/>
      <c r="D34" s="468"/>
      <c r="E34" s="468"/>
    </row>
    <row r="35" spans="1:5" x14ac:dyDescent="0.25">
      <c r="A35" s="468"/>
      <c r="B35" s="469"/>
      <c r="C35" s="468"/>
      <c r="D35" s="468"/>
      <c r="E35" s="468"/>
    </row>
    <row r="36" spans="1:5" x14ac:dyDescent="0.25">
      <c r="A36" s="468"/>
      <c r="B36" s="469"/>
      <c r="C36" s="468"/>
      <c r="D36" s="468"/>
      <c r="E36" s="468"/>
    </row>
    <row r="37" spans="1:5" x14ac:dyDescent="0.25">
      <c r="A37" s="468"/>
      <c r="B37" s="468"/>
      <c r="C37" s="468"/>
      <c r="D37" s="468"/>
      <c r="E37" s="468"/>
    </row>
    <row r="38" spans="1:5" x14ac:dyDescent="0.25">
      <c r="A38" s="468"/>
      <c r="B38" s="468"/>
      <c r="C38" s="468"/>
      <c r="D38" s="468"/>
      <c r="E38" s="468"/>
    </row>
    <row r="39" spans="1:5" x14ac:dyDescent="0.25">
      <c r="A39" s="468"/>
      <c r="B39" s="468"/>
      <c r="C39" s="468"/>
      <c r="D39" s="468"/>
      <c r="E39" s="468"/>
    </row>
    <row r="40" spans="1:5" x14ac:dyDescent="0.25">
      <c r="A40" s="468"/>
      <c r="B40" s="468"/>
      <c r="C40" s="468"/>
      <c r="D40" s="468"/>
      <c r="E40" s="468"/>
    </row>
    <row r="41" spans="1:5" x14ac:dyDescent="0.25">
      <c r="A41" s="468"/>
      <c r="B41" s="468"/>
      <c r="C41" s="468"/>
      <c r="D41" s="468"/>
      <c r="E41" s="468"/>
    </row>
    <row r="42" spans="1:5" x14ac:dyDescent="0.25">
      <c r="A42" s="468"/>
      <c r="B42" s="468"/>
      <c r="C42" s="468"/>
      <c r="D42" s="468"/>
      <c r="E42" s="468"/>
    </row>
    <row r="43" spans="1:5" x14ac:dyDescent="0.25">
      <c r="A43" s="468"/>
      <c r="B43" s="468"/>
      <c r="C43" s="468"/>
      <c r="D43" s="468"/>
      <c r="E43" s="468"/>
    </row>
    <row r="44" spans="1:5" x14ac:dyDescent="0.25">
      <c r="A44" s="468"/>
      <c r="B44" s="468"/>
      <c r="C44" s="468"/>
      <c r="D44" s="468"/>
      <c r="E44" s="468"/>
    </row>
  </sheetData>
  <sheetProtection algorithmName="SHA-512" hashValue="Z8ADdsYdYgBf0yA/ulTE6AeLEhuM3y1i2RmWojalMkFI8JsPI3cAkUCMA+Li08/m/dgjqZN9NC2Q0+Ylvg5uBw==" saltValue="2b26BneBuH0XgjCMxZZtsA==" spinCount="100000" sheet="1" objects="1" scenarios="1" selectLockedCells="1" selectUnlockedCells="1"/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20. melléklet a .../2018. (...)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7"/>
  <sheetViews>
    <sheetView view="pageBreakPreview" zoomScale="60" zoomScaleNormal="100"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205" t="s">
        <v>917</v>
      </c>
      <c r="B1" s="1205"/>
      <c r="C1" s="1205"/>
      <c r="D1" s="1205"/>
      <c r="E1" s="1205"/>
      <c r="F1" s="1205"/>
      <c r="G1" s="1205"/>
    </row>
    <row r="2" spans="1:7" x14ac:dyDescent="0.2">
      <c r="A2" s="996"/>
      <c r="B2" s="996"/>
      <c r="C2" s="996"/>
      <c r="D2" s="996"/>
      <c r="E2" s="996"/>
      <c r="F2" s="996"/>
      <c r="G2" s="996"/>
    </row>
    <row r="3" spans="1:7" ht="15.75" x14ac:dyDescent="0.25">
      <c r="A3" s="1039" t="s">
        <v>918</v>
      </c>
      <c r="B3" s="1040"/>
      <c r="C3" s="1206" t="s">
        <v>919</v>
      </c>
      <c r="D3" s="1206"/>
      <c r="E3" s="1206"/>
      <c r="F3" s="1206"/>
      <c r="G3" s="1206"/>
    </row>
    <row r="4" spans="1:7" ht="15.75" x14ac:dyDescent="0.25">
      <c r="A4" s="1040"/>
      <c r="B4" s="1040"/>
      <c r="C4" s="1040"/>
      <c r="D4" s="1040"/>
      <c r="E4" s="1040"/>
      <c r="F4" s="1040"/>
      <c r="G4" s="1040"/>
    </row>
    <row r="5" spans="1:7" ht="15.75" x14ac:dyDescent="0.25">
      <c r="A5" s="1039" t="s">
        <v>920</v>
      </c>
      <c r="B5" s="1040"/>
      <c r="C5" s="1206" t="s">
        <v>919</v>
      </c>
      <c r="D5" s="1206"/>
      <c r="E5" s="1206"/>
      <c r="F5" s="1206"/>
      <c r="G5" s="1040"/>
    </row>
    <row r="6" spans="1:7" x14ac:dyDescent="0.2">
      <c r="A6" s="1041"/>
      <c r="B6" s="1041"/>
      <c r="C6" s="1041"/>
      <c r="D6" s="1041"/>
      <c r="E6" s="1041"/>
      <c r="F6" s="1041"/>
      <c r="G6" s="1041"/>
    </row>
    <row r="7" spans="1:7" ht="15" x14ac:dyDescent="0.25">
      <c r="A7" s="1042" t="s">
        <v>921</v>
      </c>
      <c r="B7" s="1043"/>
      <c r="C7" s="1043"/>
      <c r="D7" s="1044"/>
      <c r="E7" s="1044"/>
      <c r="F7" s="1044"/>
      <c r="G7" s="1044"/>
    </row>
    <row r="8" spans="1:7" ht="15.75" thickBot="1" x14ac:dyDescent="0.3">
      <c r="A8" s="1042" t="s">
        <v>922</v>
      </c>
      <c r="B8" s="1044"/>
      <c r="C8" s="1044"/>
      <c r="D8" s="1044"/>
      <c r="E8" s="1044"/>
      <c r="F8" s="1044"/>
      <c r="G8" s="1045" t="str">
        <f>'[20]9.3.3. sz. mell'!C4</f>
        <v>Forintban!</v>
      </c>
    </row>
    <row r="9" spans="1:7" ht="36.75" thickBot="1" x14ac:dyDescent="0.25">
      <c r="A9" s="1046" t="s">
        <v>365</v>
      </c>
      <c r="B9" s="1047" t="s">
        <v>923</v>
      </c>
      <c r="C9" s="1047" t="s">
        <v>924</v>
      </c>
      <c r="D9" s="1047" t="s">
        <v>925</v>
      </c>
      <c r="E9" s="1047" t="s">
        <v>926</v>
      </c>
      <c r="F9" s="1047" t="s">
        <v>927</v>
      </c>
      <c r="G9" s="1048" t="s">
        <v>480</v>
      </c>
    </row>
    <row r="10" spans="1:7" ht="24.75" customHeight="1" x14ac:dyDescent="0.2">
      <c r="A10" s="1049" t="s">
        <v>9</v>
      </c>
      <c r="B10" s="1050" t="s">
        <v>928</v>
      </c>
      <c r="C10" s="1051"/>
      <c r="D10" s="1051"/>
      <c r="E10" s="1051"/>
      <c r="F10" s="1051"/>
      <c r="G10" s="1052">
        <f>SUM(C10:F10)</f>
        <v>0</v>
      </c>
    </row>
    <row r="11" spans="1:7" ht="24.75" customHeight="1" x14ac:dyDescent="0.2">
      <c r="A11" s="1053" t="s">
        <v>12</v>
      </c>
      <c r="B11" s="1054" t="s">
        <v>929</v>
      </c>
      <c r="C11" s="1055"/>
      <c r="D11" s="1055"/>
      <c r="E11" s="1055"/>
      <c r="F11" s="1055"/>
      <c r="G11" s="1056">
        <f t="shared" ref="G11:G16" si="0">SUM(C11:F11)</f>
        <v>0</v>
      </c>
    </row>
    <row r="12" spans="1:7" ht="24.75" customHeight="1" x14ac:dyDescent="0.2">
      <c r="A12" s="1053" t="s">
        <v>15</v>
      </c>
      <c r="B12" s="1054" t="s">
        <v>930</v>
      </c>
      <c r="C12" s="1055"/>
      <c r="D12" s="1055"/>
      <c r="E12" s="1055"/>
      <c r="F12" s="1055"/>
      <c r="G12" s="1056">
        <f t="shared" si="0"/>
        <v>0</v>
      </c>
    </row>
    <row r="13" spans="1:7" ht="24.75" customHeight="1" x14ac:dyDescent="0.2">
      <c r="A13" s="1053" t="s">
        <v>18</v>
      </c>
      <c r="B13" s="1054" t="s">
        <v>931</v>
      </c>
      <c r="C13" s="1055"/>
      <c r="D13" s="1055"/>
      <c r="E13" s="1055"/>
      <c r="F13" s="1055"/>
      <c r="G13" s="1056">
        <f t="shared" si="0"/>
        <v>0</v>
      </c>
    </row>
    <row r="14" spans="1:7" ht="24.75" customHeight="1" x14ac:dyDescent="0.2">
      <c r="A14" s="1053" t="s">
        <v>21</v>
      </c>
      <c r="B14" s="1054" t="s">
        <v>932</v>
      </c>
      <c r="C14" s="1055"/>
      <c r="D14" s="1055"/>
      <c r="E14" s="1055"/>
      <c r="F14" s="1055"/>
      <c r="G14" s="1056">
        <f t="shared" si="0"/>
        <v>0</v>
      </c>
    </row>
    <row r="15" spans="1:7" ht="24.75" customHeight="1" thickBot="1" x14ac:dyDescent="0.25">
      <c r="A15" s="1057" t="s">
        <v>24</v>
      </c>
      <c r="B15" s="1058" t="s">
        <v>933</v>
      </c>
      <c r="C15" s="1059"/>
      <c r="D15" s="1059"/>
      <c r="E15" s="1059"/>
      <c r="F15" s="1059"/>
      <c r="G15" s="1060">
        <f t="shared" si="0"/>
        <v>0</v>
      </c>
    </row>
    <row r="16" spans="1:7" ht="24.75" customHeight="1" thickBot="1" x14ac:dyDescent="0.25">
      <c r="A16" s="1061" t="s">
        <v>27</v>
      </c>
      <c r="B16" s="1062" t="s">
        <v>480</v>
      </c>
      <c r="C16" s="1063">
        <f>SUM(C10:C15)</f>
        <v>0</v>
      </c>
      <c r="D16" s="1063">
        <f>SUM(D10:D15)</f>
        <v>0</v>
      </c>
      <c r="E16" s="1063">
        <f>SUM(E10:E15)</f>
        <v>0</v>
      </c>
      <c r="F16" s="1063">
        <f>SUM(F10:F15)</f>
        <v>0</v>
      </c>
      <c r="G16" s="1064">
        <f t="shared" si="0"/>
        <v>0</v>
      </c>
    </row>
    <row r="17" spans="1:7" x14ac:dyDescent="0.2">
      <c r="A17" s="1041"/>
      <c r="B17" s="1041"/>
      <c r="C17" s="1041"/>
      <c r="D17" s="1041"/>
      <c r="E17" s="1041"/>
      <c r="F17" s="1041"/>
      <c r="G17" s="1041"/>
    </row>
    <row r="18" spans="1:7" x14ac:dyDescent="0.2">
      <c r="A18" s="1041"/>
      <c r="B18" s="1041"/>
      <c r="C18" s="1041"/>
      <c r="D18" s="1041"/>
      <c r="E18" s="1041"/>
      <c r="F18" s="1041"/>
      <c r="G18" s="1041"/>
    </row>
    <row r="19" spans="1:7" x14ac:dyDescent="0.2">
      <c r="A19" s="1041"/>
      <c r="B19" s="1041"/>
      <c r="C19" s="1041"/>
      <c r="D19" s="1041"/>
      <c r="E19" s="1041"/>
      <c r="F19" s="1041"/>
      <c r="G19" s="1041"/>
    </row>
    <row r="20" spans="1:7" ht="15.75" x14ac:dyDescent="0.25">
      <c r="A20" s="1065"/>
      <c r="B20" s="1041" t="s">
        <v>935</v>
      </c>
      <c r="C20" s="1041"/>
      <c r="D20" s="1041"/>
      <c r="E20" s="1041"/>
      <c r="F20" s="1041"/>
      <c r="G20" s="1041"/>
    </row>
    <row r="21" spans="1:7" x14ac:dyDescent="0.2">
      <c r="A21" s="1041"/>
      <c r="B21" s="1041"/>
      <c r="C21" s="1041"/>
      <c r="D21" s="1041"/>
      <c r="E21" s="1041"/>
      <c r="F21" s="1041"/>
      <c r="G21" s="1041"/>
    </row>
    <row r="22" spans="1:7" x14ac:dyDescent="0.2">
      <c r="A22" s="1041"/>
      <c r="B22" s="1041"/>
      <c r="C22" s="1041"/>
      <c r="D22" s="1041"/>
      <c r="E22" s="1041"/>
      <c r="F22" s="1041"/>
      <c r="G22" s="1041"/>
    </row>
    <row r="23" spans="1:7" x14ac:dyDescent="0.2">
      <c r="A23" s="1041"/>
      <c r="B23" s="1041"/>
      <c r="C23" s="1066"/>
      <c r="D23" s="1066"/>
      <c r="E23" s="1066"/>
      <c r="F23" s="1066"/>
      <c r="G23" s="1041"/>
    </row>
    <row r="24" spans="1:7" ht="13.5" x14ac:dyDescent="0.25">
      <c r="A24" s="1041"/>
      <c r="B24" s="1041"/>
      <c r="C24" s="1067"/>
      <c r="D24" s="1068" t="s">
        <v>934</v>
      </c>
      <c r="E24" s="1068"/>
      <c r="F24" s="1067"/>
      <c r="G24" s="1041"/>
    </row>
    <row r="25" spans="1:7" ht="13.5" x14ac:dyDescent="0.25">
      <c r="A25" s="996"/>
      <c r="B25" s="996"/>
      <c r="C25" s="139"/>
      <c r="D25" s="1069"/>
      <c r="E25" s="1069"/>
      <c r="F25" s="139"/>
      <c r="G25" s="996"/>
    </row>
    <row r="26" spans="1:7" ht="13.5" x14ac:dyDescent="0.25">
      <c r="A26" s="996"/>
      <c r="B26" s="996"/>
      <c r="C26" s="139"/>
      <c r="D26" s="1069"/>
      <c r="E26" s="1069"/>
      <c r="F26" s="139"/>
      <c r="G26" s="996"/>
    </row>
    <row r="27" spans="1:7" x14ac:dyDescent="0.2">
      <c r="A27" s="996"/>
      <c r="B27" s="996"/>
      <c r="C27" s="996"/>
      <c r="D27" s="996"/>
      <c r="E27" s="996"/>
      <c r="F27" s="996"/>
      <c r="G27" s="996"/>
    </row>
  </sheetData>
  <mergeCells count="3">
    <mergeCell ref="A1:G1"/>
    <mergeCell ref="C3:G3"/>
    <mergeCell ref="C5:F5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 21. melléklet a ……/2018. (……)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8430-D3B6-4C07-8D66-C70872BB13A5}">
  <dimension ref="A1:H70"/>
  <sheetViews>
    <sheetView workbookViewId="0">
      <selection activeCell="D12" sqref="D12"/>
    </sheetView>
  </sheetViews>
  <sheetFormatPr defaultColWidth="18.33203125" defaultRowHeight="12.75" x14ac:dyDescent="0.2"/>
  <cols>
    <col min="1" max="1" width="9.33203125" style="105" customWidth="1"/>
    <col min="2" max="2" width="66.5" style="109" customWidth="1"/>
    <col min="3" max="3" width="16" style="1006" customWidth="1"/>
    <col min="4" max="4" width="13.83203125" style="1008" customWidth="1"/>
    <col min="5" max="5" width="13.83203125" style="1007" customWidth="1"/>
    <col min="6" max="6" width="13.83203125" style="109" customWidth="1"/>
    <col min="7" max="8" width="18.33203125" style="1212"/>
    <col min="9" max="16384" width="18.33203125" style="106"/>
  </cols>
  <sheetData>
    <row r="1" spans="1:8" ht="43.5" customHeight="1" x14ac:dyDescent="0.2">
      <c r="A1" s="1112" t="s">
        <v>728</v>
      </c>
      <c r="B1" s="1113"/>
      <c r="C1" s="1113"/>
      <c r="D1" s="1113"/>
      <c r="E1" s="1113"/>
      <c r="F1" s="1113"/>
    </row>
    <row r="2" spans="1:8" ht="15.75" customHeight="1" x14ac:dyDescent="0.2">
      <c r="A2" s="1111" t="s">
        <v>1</v>
      </c>
      <c r="B2" s="1111"/>
      <c r="C2" s="1111"/>
      <c r="D2" s="1111"/>
      <c r="E2" s="1111"/>
      <c r="F2" s="1111"/>
    </row>
    <row r="3" spans="1:8" s="107" customFormat="1" ht="22.5" customHeight="1" x14ac:dyDescent="0.2">
      <c r="A3" s="1213" t="s">
        <v>268</v>
      </c>
      <c r="B3" s="1214" t="s">
        <v>269</v>
      </c>
      <c r="C3" s="1215"/>
      <c r="D3" s="1216" t="s">
        <v>724</v>
      </c>
      <c r="E3" s="1216"/>
      <c r="F3" s="1216"/>
      <c r="G3" s="1217" t="s">
        <v>939</v>
      </c>
      <c r="H3" s="1217" t="s">
        <v>940</v>
      </c>
    </row>
    <row r="4" spans="1:8" s="108" customFormat="1" ht="25.5" customHeight="1" x14ac:dyDescent="0.2">
      <c r="A4" s="1213"/>
      <c r="B4" s="1214"/>
      <c r="C4" s="1218" t="s">
        <v>270</v>
      </c>
      <c r="D4" s="1215" t="s">
        <v>271</v>
      </c>
      <c r="E4" s="1219" t="s">
        <v>272</v>
      </c>
      <c r="F4" s="1215" t="s">
        <v>368</v>
      </c>
      <c r="G4" s="1217"/>
      <c r="H4" s="1217"/>
    </row>
    <row r="5" spans="1:8" ht="28.5" customHeight="1" x14ac:dyDescent="0.2">
      <c r="A5" s="1220" t="s">
        <v>273</v>
      </c>
      <c r="B5" s="1221" t="s">
        <v>274</v>
      </c>
      <c r="C5" s="1222" t="s">
        <v>275</v>
      </c>
      <c r="D5" s="1223">
        <v>6.5</v>
      </c>
      <c r="E5" s="1224">
        <v>4580000</v>
      </c>
      <c r="F5" s="1225">
        <f>D5*E5</f>
        <v>29770000</v>
      </c>
      <c r="G5" s="1226"/>
      <c r="H5" s="1226">
        <f>F5+G5</f>
        <v>29770000</v>
      </c>
    </row>
    <row r="6" spans="1:8" ht="29.25" customHeight="1" x14ac:dyDescent="0.2">
      <c r="A6" s="1222" t="s">
        <v>276</v>
      </c>
      <c r="B6" s="1221" t="s">
        <v>277</v>
      </c>
      <c r="C6" s="1220"/>
      <c r="D6" s="1227"/>
      <c r="E6" s="1224"/>
      <c r="F6" s="1225">
        <f>SUM(F7:F10)</f>
        <v>16305200</v>
      </c>
      <c r="G6" s="1228">
        <f t="shared" ref="G6:H6" si="0">SUM(G7:G10)</f>
        <v>0</v>
      </c>
      <c r="H6" s="1228">
        <f t="shared" si="0"/>
        <v>16305200</v>
      </c>
    </row>
    <row r="7" spans="1:8" ht="28.5" customHeight="1" x14ac:dyDescent="0.2">
      <c r="A7" s="1229" t="s">
        <v>278</v>
      </c>
      <c r="B7" s="1230" t="s">
        <v>279</v>
      </c>
      <c r="C7" s="1229" t="s">
        <v>280</v>
      </c>
      <c r="D7" s="1231">
        <v>230</v>
      </c>
      <c r="E7" s="1232">
        <v>22300</v>
      </c>
      <c r="F7" s="1232">
        <f>D7*E7</f>
        <v>5129000</v>
      </c>
      <c r="G7" s="1226"/>
      <c r="H7" s="1226">
        <f t="shared" ref="H7:H15" si="1">F7+G7</f>
        <v>5129000</v>
      </c>
    </row>
    <row r="8" spans="1:8" ht="29.25" customHeight="1" x14ac:dyDescent="0.2">
      <c r="A8" s="1229" t="s">
        <v>281</v>
      </c>
      <c r="B8" s="1230" t="s">
        <v>282</v>
      </c>
      <c r="C8" s="1229" t="s">
        <v>283</v>
      </c>
      <c r="D8" s="1231"/>
      <c r="E8" s="1232"/>
      <c r="F8" s="1232">
        <v>6400000</v>
      </c>
      <c r="G8" s="1226"/>
      <c r="H8" s="1226">
        <f t="shared" si="1"/>
        <v>6400000</v>
      </c>
    </row>
    <row r="9" spans="1:8" ht="23.25" customHeight="1" x14ac:dyDescent="0.2">
      <c r="A9" s="1229" t="s">
        <v>284</v>
      </c>
      <c r="B9" s="1230" t="s">
        <v>285</v>
      </c>
      <c r="C9" s="1229" t="s">
        <v>286</v>
      </c>
      <c r="D9" s="1231"/>
      <c r="E9" s="1232"/>
      <c r="F9" s="1232">
        <v>100000</v>
      </c>
      <c r="G9" s="1226"/>
      <c r="H9" s="1226">
        <f t="shared" si="1"/>
        <v>100000</v>
      </c>
    </row>
    <row r="10" spans="1:8" ht="18.75" customHeight="1" x14ac:dyDescent="0.2">
      <c r="A10" s="1229" t="s">
        <v>287</v>
      </c>
      <c r="B10" s="1230" t="s">
        <v>288</v>
      </c>
      <c r="C10" s="1229" t="s">
        <v>283</v>
      </c>
      <c r="D10" s="1231"/>
      <c r="E10" s="1232"/>
      <c r="F10" s="1232">
        <v>4676200</v>
      </c>
      <c r="G10" s="1226"/>
      <c r="H10" s="1226">
        <f t="shared" si="1"/>
        <v>4676200</v>
      </c>
    </row>
    <row r="11" spans="1:8" ht="24" customHeight="1" x14ac:dyDescent="0.2">
      <c r="A11" s="1220" t="s">
        <v>289</v>
      </c>
      <c r="B11" s="1221" t="s">
        <v>290</v>
      </c>
      <c r="C11" s="1220" t="s">
        <v>291</v>
      </c>
      <c r="D11" s="1227">
        <v>2248</v>
      </c>
      <c r="E11" s="1224">
        <v>2700</v>
      </c>
      <c r="F11" s="1224">
        <f>D11*E11</f>
        <v>6069600</v>
      </c>
      <c r="G11" s="1226"/>
      <c r="H11" s="1226">
        <f t="shared" si="1"/>
        <v>6069600</v>
      </c>
    </row>
    <row r="12" spans="1:8" ht="35.25" customHeight="1" x14ac:dyDescent="0.2">
      <c r="A12" s="1220" t="s">
        <v>292</v>
      </c>
      <c r="B12" s="1221" t="s">
        <v>293</v>
      </c>
      <c r="C12" s="1222" t="s">
        <v>294</v>
      </c>
      <c r="D12" s="1227"/>
      <c r="E12" s="1224"/>
      <c r="F12" s="1224"/>
      <c r="G12" s="1226"/>
      <c r="H12" s="1226">
        <f t="shared" si="1"/>
        <v>0</v>
      </c>
    </row>
    <row r="13" spans="1:8" ht="24.75" customHeight="1" x14ac:dyDescent="0.2">
      <c r="A13" s="1220" t="s">
        <v>295</v>
      </c>
      <c r="B13" s="1221" t="s">
        <v>296</v>
      </c>
      <c r="C13" s="1222" t="s">
        <v>297</v>
      </c>
      <c r="D13" s="1227"/>
      <c r="E13" s="1224"/>
      <c r="F13" s="1225"/>
      <c r="G13" s="1226"/>
      <c r="H13" s="1226">
        <f t="shared" si="1"/>
        <v>0</v>
      </c>
    </row>
    <row r="14" spans="1:8" ht="24.75" customHeight="1" x14ac:dyDescent="0.2">
      <c r="A14" s="1220"/>
      <c r="B14" s="1221" t="s">
        <v>367</v>
      </c>
      <c r="C14" s="1222"/>
      <c r="D14" s="1227"/>
      <c r="E14" s="1224"/>
      <c r="F14" s="1225"/>
      <c r="G14" s="1226"/>
      <c r="H14" s="1226">
        <f t="shared" si="1"/>
        <v>0</v>
      </c>
    </row>
    <row r="15" spans="1:8" ht="24.75" customHeight="1" x14ac:dyDescent="0.2">
      <c r="A15" s="1220" t="s">
        <v>760</v>
      </c>
      <c r="B15" s="1221" t="s">
        <v>759</v>
      </c>
      <c r="C15" s="1222"/>
      <c r="D15" s="1227"/>
      <c r="E15" s="1224"/>
      <c r="F15" s="1224">
        <v>23465160</v>
      </c>
      <c r="G15" s="1226"/>
      <c r="H15" s="1226">
        <f t="shared" si="1"/>
        <v>23465160</v>
      </c>
    </row>
    <row r="16" spans="1:8" ht="31.5" customHeight="1" x14ac:dyDescent="0.2">
      <c r="A16" s="1215" t="s">
        <v>298</v>
      </c>
      <c r="B16" s="1233" t="s">
        <v>299</v>
      </c>
      <c r="C16" s="1215" t="s">
        <v>300</v>
      </c>
      <c r="D16" s="1234"/>
      <c r="E16" s="1235"/>
      <c r="F16" s="1236">
        <f>SUM(F5,F6,F11,F12,F13,F15)</f>
        <v>75609960</v>
      </c>
      <c r="G16" s="1237">
        <f t="shared" ref="G16:H16" si="2">SUM(G5,G6,G11,G12,G13,G15)</f>
        <v>0</v>
      </c>
      <c r="H16" s="1237">
        <f t="shared" si="2"/>
        <v>75609960</v>
      </c>
    </row>
    <row r="17" spans="1:8" ht="31.5" customHeight="1" x14ac:dyDescent="0.2">
      <c r="A17" s="1215" t="s">
        <v>754</v>
      </c>
      <c r="B17" s="1233" t="s">
        <v>756</v>
      </c>
      <c r="C17" s="1215" t="s">
        <v>300</v>
      </c>
      <c r="D17" s="1234"/>
      <c r="E17" s="1235">
        <v>300000</v>
      </c>
      <c r="F17" s="1236">
        <f>SUM(E17)</f>
        <v>300000</v>
      </c>
      <c r="G17" s="1226"/>
      <c r="H17" s="1226">
        <f t="shared" ref="H17:H19" si="3">F17+G17</f>
        <v>300000</v>
      </c>
    </row>
    <row r="18" spans="1:8" ht="31.5" customHeight="1" x14ac:dyDescent="0.2">
      <c r="A18" s="1215" t="s">
        <v>755</v>
      </c>
      <c r="B18" s="1234" t="s">
        <v>757</v>
      </c>
      <c r="C18" s="1215"/>
      <c r="D18" s="1234"/>
      <c r="E18" s="1235"/>
      <c r="F18" s="1236"/>
      <c r="G18" s="1226"/>
      <c r="H18" s="1226">
        <f t="shared" si="3"/>
        <v>0</v>
      </c>
    </row>
    <row r="19" spans="1:8" ht="18.75" customHeight="1" x14ac:dyDescent="0.2">
      <c r="A19" s="1215" t="s">
        <v>301</v>
      </c>
      <c r="B19" s="1234" t="s">
        <v>758</v>
      </c>
      <c r="C19" s="1215" t="s">
        <v>300</v>
      </c>
      <c r="D19" s="1234"/>
      <c r="E19" s="1235">
        <v>1041000</v>
      </c>
      <c r="F19" s="1236">
        <f>SUM(D19:E19)</f>
        <v>1041000</v>
      </c>
      <c r="G19" s="1226"/>
      <c r="H19" s="1226">
        <f t="shared" si="3"/>
        <v>1041000</v>
      </c>
    </row>
    <row r="20" spans="1:8" s="109" customFormat="1" ht="30" customHeight="1" x14ac:dyDescent="0.2">
      <c r="A20" s="1215" t="s">
        <v>303</v>
      </c>
      <c r="B20" s="1233" t="s">
        <v>304</v>
      </c>
      <c r="C20" s="1215" t="s">
        <v>300</v>
      </c>
      <c r="D20" s="1234"/>
      <c r="E20" s="1235"/>
      <c r="F20" s="1235">
        <f>SUM(F16:F19)</f>
        <v>76950960</v>
      </c>
      <c r="G20" s="1237">
        <f t="shared" ref="G20:H20" si="4">SUM(G16:G19)</f>
        <v>0</v>
      </c>
      <c r="H20" s="1237">
        <f t="shared" si="4"/>
        <v>76950960</v>
      </c>
    </row>
    <row r="21" spans="1:8" s="107" customFormat="1" ht="34.5" customHeight="1" x14ac:dyDescent="0.2">
      <c r="A21" s="1215" t="s">
        <v>305</v>
      </c>
      <c r="B21" s="1233" t="s">
        <v>306</v>
      </c>
      <c r="C21" s="1215" t="s">
        <v>300</v>
      </c>
      <c r="D21" s="1234"/>
      <c r="E21" s="1235"/>
      <c r="F21" s="1235">
        <f>SUM(F23:F29)</f>
        <v>44462100</v>
      </c>
      <c r="G21" s="1237">
        <f t="shared" ref="G21:H21" si="5">SUM(G23:G29)</f>
        <v>147300</v>
      </c>
      <c r="H21" s="1237">
        <f t="shared" si="5"/>
        <v>44609400</v>
      </c>
    </row>
    <row r="22" spans="1:8" x14ac:dyDescent="0.2">
      <c r="A22" s="1220"/>
      <c r="B22" s="1221" t="s">
        <v>761</v>
      </c>
      <c r="C22" s="1220"/>
      <c r="D22" s="1227"/>
      <c r="E22" s="1224"/>
      <c r="F22" s="1224"/>
      <c r="G22" s="1226"/>
      <c r="H22" s="1226">
        <f t="shared" ref="H22:H29" si="6">F22+G22</f>
        <v>0</v>
      </c>
    </row>
    <row r="23" spans="1:8" ht="18.75" customHeight="1" x14ac:dyDescent="0.2">
      <c r="A23" s="1229" t="s">
        <v>307</v>
      </c>
      <c r="B23" s="1231" t="s">
        <v>308</v>
      </c>
      <c r="C23" s="1229" t="s">
        <v>291</v>
      </c>
      <c r="D23" s="1238">
        <v>7.7</v>
      </c>
      <c r="E23" s="1232">
        <v>4419000</v>
      </c>
      <c r="F23" s="1232">
        <f>D23*E23/12*8</f>
        <v>22684200</v>
      </c>
      <c r="G23" s="1226"/>
      <c r="H23" s="1226">
        <f t="shared" si="6"/>
        <v>22684200</v>
      </c>
    </row>
    <row r="24" spans="1:8" ht="49.5" customHeight="1" x14ac:dyDescent="0.2">
      <c r="A24" s="1229" t="s">
        <v>309</v>
      </c>
      <c r="B24" s="1230" t="s">
        <v>310</v>
      </c>
      <c r="C24" s="1229" t="s">
        <v>291</v>
      </c>
      <c r="D24" s="1238">
        <v>5</v>
      </c>
      <c r="E24" s="1232">
        <v>2205000</v>
      </c>
      <c r="F24" s="1232">
        <f>D24*E24/12*8</f>
        <v>7350000</v>
      </c>
      <c r="G24" s="1226"/>
      <c r="H24" s="1226">
        <f t="shared" si="6"/>
        <v>7350000</v>
      </c>
    </row>
    <row r="25" spans="1:8" ht="45.75" customHeight="1" x14ac:dyDescent="0.2">
      <c r="A25" s="1229" t="s">
        <v>311</v>
      </c>
      <c r="B25" s="1230" t="s">
        <v>312</v>
      </c>
      <c r="C25" s="1229" t="s">
        <v>291</v>
      </c>
      <c r="D25" s="1238"/>
      <c r="E25" s="1232">
        <v>4419000</v>
      </c>
      <c r="F25" s="1232">
        <f>D25*E25/12*8</f>
        <v>0</v>
      </c>
      <c r="G25" s="1226"/>
      <c r="H25" s="1226">
        <f t="shared" si="6"/>
        <v>0</v>
      </c>
    </row>
    <row r="26" spans="1:8" x14ac:dyDescent="0.2">
      <c r="A26" s="1229"/>
      <c r="B26" s="1221" t="s">
        <v>762</v>
      </c>
      <c r="C26" s="1229"/>
      <c r="D26" s="1238"/>
      <c r="E26" s="1232"/>
      <c r="F26" s="1232"/>
      <c r="G26" s="1226"/>
      <c r="H26" s="1226">
        <f t="shared" si="6"/>
        <v>0</v>
      </c>
    </row>
    <row r="27" spans="1:8" ht="18.75" customHeight="1" x14ac:dyDescent="0.2">
      <c r="A27" s="1229" t="s">
        <v>313</v>
      </c>
      <c r="B27" s="1231" t="s">
        <v>308</v>
      </c>
      <c r="C27" s="1229" t="s">
        <v>291</v>
      </c>
      <c r="D27" s="1238">
        <v>7.3</v>
      </c>
      <c r="E27" s="1232">
        <v>4419000</v>
      </c>
      <c r="F27" s="1232">
        <f>D27*E27/12*4</f>
        <v>10752900</v>
      </c>
      <c r="G27" s="1226"/>
      <c r="H27" s="1226">
        <f t="shared" si="6"/>
        <v>10752900</v>
      </c>
    </row>
    <row r="28" spans="1:8" ht="45" customHeight="1" x14ac:dyDescent="0.2">
      <c r="A28" s="1229" t="s">
        <v>314</v>
      </c>
      <c r="B28" s="1230" t="s">
        <v>310</v>
      </c>
      <c r="C28" s="1229" t="s">
        <v>291</v>
      </c>
      <c r="D28" s="1238">
        <v>5</v>
      </c>
      <c r="E28" s="1232">
        <v>2205000</v>
      </c>
      <c r="F28" s="1232">
        <f>D28*E28/12*4</f>
        <v>3675000</v>
      </c>
      <c r="G28" s="1226">
        <v>147300</v>
      </c>
      <c r="H28" s="1226">
        <f t="shared" si="6"/>
        <v>3822300</v>
      </c>
    </row>
    <row r="29" spans="1:8" ht="24.75" customHeight="1" x14ac:dyDescent="0.2">
      <c r="A29" s="1229" t="s">
        <v>315</v>
      </c>
      <c r="B29" s="1230" t="s">
        <v>316</v>
      </c>
      <c r="C29" s="1229" t="s">
        <v>291</v>
      </c>
      <c r="D29" s="1238"/>
      <c r="E29" s="1232">
        <v>4419000</v>
      </c>
      <c r="F29" s="1232">
        <f>D29*E29</f>
        <v>0</v>
      </c>
      <c r="G29" s="1226"/>
      <c r="H29" s="1226">
        <f t="shared" si="6"/>
        <v>0</v>
      </c>
    </row>
    <row r="30" spans="1:8" s="107" customFormat="1" ht="34.5" customHeight="1" x14ac:dyDescent="0.2">
      <c r="A30" s="1215" t="s">
        <v>764</v>
      </c>
      <c r="B30" s="1233" t="s">
        <v>763</v>
      </c>
      <c r="C30" s="1215"/>
      <c r="D30" s="1234"/>
      <c r="E30" s="1235"/>
      <c r="F30" s="1235">
        <f>SUM(F31:F34)</f>
        <v>6318133.333333333</v>
      </c>
      <c r="G30" s="1237">
        <f t="shared" ref="G30:H30" si="7">SUM(G31:G34)</f>
        <v>27234</v>
      </c>
      <c r="H30" s="1237">
        <f t="shared" si="7"/>
        <v>6345367.333333333</v>
      </c>
    </row>
    <row r="31" spans="1:8" ht="18.75" customHeight="1" x14ac:dyDescent="0.2">
      <c r="A31" s="1220" t="s">
        <v>317</v>
      </c>
      <c r="B31" s="1221" t="s">
        <v>765</v>
      </c>
      <c r="C31" s="1220" t="s">
        <v>291</v>
      </c>
      <c r="D31" s="1224">
        <v>78</v>
      </c>
      <c r="E31" s="1224">
        <v>81700</v>
      </c>
      <c r="F31" s="1224">
        <f>D31*E31/12*8</f>
        <v>4248400</v>
      </c>
      <c r="G31" s="1226"/>
      <c r="H31" s="1226">
        <f t="shared" ref="H31:H34" si="8">F31+G31</f>
        <v>4248400</v>
      </c>
    </row>
    <row r="32" spans="1:8" ht="18.75" customHeight="1" x14ac:dyDescent="0.2">
      <c r="A32" s="1220" t="s">
        <v>318</v>
      </c>
      <c r="B32" s="1221" t="s">
        <v>766</v>
      </c>
      <c r="C32" s="1220" t="s">
        <v>291</v>
      </c>
      <c r="D32" s="1224"/>
      <c r="E32" s="1224">
        <v>40850</v>
      </c>
      <c r="F32" s="1224">
        <f>D32*E32/12*8</f>
        <v>0</v>
      </c>
      <c r="G32" s="1226"/>
      <c r="H32" s="1226">
        <f t="shared" si="8"/>
        <v>0</v>
      </c>
    </row>
    <row r="33" spans="1:8" ht="18.75" customHeight="1" x14ac:dyDescent="0.2">
      <c r="A33" s="1220" t="s">
        <v>319</v>
      </c>
      <c r="B33" s="1221" t="s">
        <v>767</v>
      </c>
      <c r="C33" s="1220" t="s">
        <v>291</v>
      </c>
      <c r="D33" s="1224">
        <v>76</v>
      </c>
      <c r="E33" s="1224">
        <v>81700</v>
      </c>
      <c r="F33" s="1224">
        <f>D33*E33/12*4</f>
        <v>2069733.3333333333</v>
      </c>
      <c r="G33" s="1226">
        <v>27234</v>
      </c>
      <c r="H33" s="1226">
        <f t="shared" si="8"/>
        <v>2096967.3333333333</v>
      </c>
    </row>
    <row r="34" spans="1:8" ht="18.75" customHeight="1" x14ac:dyDescent="0.2">
      <c r="A34" s="1220" t="s">
        <v>320</v>
      </c>
      <c r="B34" s="1221" t="s">
        <v>766</v>
      </c>
      <c r="C34" s="1220" t="s">
        <v>291</v>
      </c>
      <c r="D34" s="1224"/>
      <c r="E34" s="1224">
        <v>4080</v>
      </c>
      <c r="F34" s="1224">
        <f>D34*E34/12*4</f>
        <v>0</v>
      </c>
      <c r="G34" s="1226"/>
      <c r="H34" s="1226">
        <f t="shared" si="8"/>
        <v>0</v>
      </c>
    </row>
    <row r="35" spans="1:8" s="107" customFormat="1" ht="18.75" customHeight="1" x14ac:dyDescent="0.2">
      <c r="A35" s="1215" t="s">
        <v>321</v>
      </c>
      <c r="B35" s="1233" t="s">
        <v>322</v>
      </c>
      <c r="C35" s="1215" t="s">
        <v>300</v>
      </c>
      <c r="D35" s="1235"/>
      <c r="E35" s="1235"/>
      <c r="F35" s="1235">
        <f>SUM(F36:F37)</f>
        <v>802000</v>
      </c>
      <c r="G35" s="1237">
        <f t="shared" ref="G35:H35" si="9">SUM(G36:G37)</f>
        <v>367584</v>
      </c>
      <c r="H35" s="1237">
        <f t="shared" si="9"/>
        <v>1169584</v>
      </c>
    </row>
    <row r="36" spans="1:8" ht="37.5" customHeight="1" x14ac:dyDescent="0.2">
      <c r="A36" s="1220" t="s">
        <v>323</v>
      </c>
      <c r="B36" s="1221" t="s">
        <v>768</v>
      </c>
      <c r="C36" s="1220" t="s">
        <v>291</v>
      </c>
      <c r="D36" s="1224">
        <v>2</v>
      </c>
      <c r="E36" s="1224">
        <v>401000</v>
      </c>
      <c r="F36" s="1224">
        <f>D36*E36</f>
        <v>802000</v>
      </c>
      <c r="G36" s="1226"/>
      <c r="H36" s="1226">
        <f t="shared" ref="H36:H37" si="10">F36+G36</f>
        <v>802000</v>
      </c>
    </row>
    <row r="37" spans="1:8" ht="44.25" customHeight="1" x14ac:dyDescent="0.2">
      <c r="A37" s="1220" t="s">
        <v>324</v>
      </c>
      <c r="B37" s="1221" t="s">
        <v>325</v>
      </c>
      <c r="C37" s="1220" t="s">
        <v>291</v>
      </c>
      <c r="D37" s="1224"/>
      <c r="E37" s="1224"/>
      <c r="F37" s="1224"/>
      <c r="G37" s="1226">
        <v>367584</v>
      </c>
      <c r="H37" s="1226">
        <f t="shared" si="10"/>
        <v>367584</v>
      </c>
    </row>
    <row r="38" spans="1:8" ht="30.75" customHeight="1" x14ac:dyDescent="0.2">
      <c r="A38" s="1215" t="s">
        <v>326</v>
      </c>
      <c r="B38" s="1233" t="s">
        <v>327</v>
      </c>
      <c r="C38" s="1215" t="s">
        <v>300</v>
      </c>
      <c r="D38" s="1234"/>
      <c r="E38" s="1235"/>
      <c r="F38" s="1235">
        <f>SUM(F21,F30,F35)</f>
        <v>51582233.333333336</v>
      </c>
      <c r="G38" s="1237">
        <f t="shared" ref="G38:H38" si="11">SUM(G21,G30,G35)</f>
        <v>542118</v>
      </c>
      <c r="H38" s="1237">
        <f t="shared" si="11"/>
        <v>52124351.333333336</v>
      </c>
    </row>
    <row r="39" spans="1:8" ht="29.25" customHeight="1" x14ac:dyDescent="0.2">
      <c r="A39" s="1215" t="s">
        <v>328</v>
      </c>
      <c r="B39" s="1233" t="s">
        <v>329</v>
      </c>
      <c r="C39" s="1215" t="s">
        <v>300</v>
      </c>
      <c r="D39" s="1234"/>
      <c r="E39" s="1235"/>
      <c r="F39" s="1235">
        <v>29009000</v>
      </c>
      <c r="G39" s="1226"/>
      <c r="H39" s="1226">
        <f>F39+G39</f>
        <v>29009000</v>
      </c>
    </row>
    <row r="40" spans="1:8" s="107" customFormat="1" ht="25.5" customHeight="1" x14ac:dyDescent="0.2">
      <c r="A40" s="1215" t="s">
        <v>771</v>
      </c>
      <c r="B40" s="1233" t="s">
        <v>770</v>
      </c>
      <c r="C40" s="1215"/>
      <c r="D40" s="1234"/>
      <c r="E40" s="1235"/>
      <c r="F40" s="1235">
        <f>SUM(F41:F46)</f>
        <v>18311840</v>
      </c>
      <c r="G40" s="1237">
        <f t="shared" ref="G40:H40" si="12">SUM(G41:G46)</f>
        <v>0</v>
      </c>
      <c r="H40" s="1237">
        <f t="shared" si="12"/>
        <v>18311840</v>
      </c>
    </row>
    <row r="41" spans="1:8" ht="22.5" customHeight="1" x14ac:dyDescent="0.2">
      <c r="A41" s="1220" t="s">
        <v>330</v>
      </c>
      <c r="B41" s="1221" t="s">
        <v>331</v>
      </c>
      <c r="C41" s="1222" t="s">
        <v>332</v>
      </c>
      <c r="D41" s="1227"/>
      <c r="E41" s="1224">
        <v>3400000</v>
      </c>
      <c r="F41" s="1224">
        <v>3400000</v>
      </c>
      <c r="G41" s="1226"/>
      <c r="H41" s="1226">
        <f t="shared" ref="H41:H46" si="13">F41+G41</f>
        <v>3400000</v>
      </c>
    </row>
    <row r="42" spans="1:8" ht="22.5" customHeight="1" x14ac:dyDescent="0.2">
      <c r="A42" s="1220" t="s">
        <v>333</v>
      </c>
      <c r="B42" s="1221" t="s">
        <v>334</v>
      </c>
      <c r="C42" s="1222" t="s">
        <v>332</v>
      </c>
      <c r="D42" s="1227"/>
      <c r="E42" s="1224"/>
      <c r="F42" s="1224">
        <f>E42*4.4</f>
        <v>0</v>
      </c>
      <c r="G42" s="1226"/>
      <c r="H42" s="1226">
        <f t="shared" si="13"/>
        <v>0</v>
      </c>
    </row>
    <row r="43" spans="1:8" ht="18.75" customHeight="1" x14ac:dyDescent="0.2">
      <c r="A43" s="1220" t="s">
        <v>335</v>
      </c>
      <c r="B43" s="1221" t="s">
        <v>336</v>
      </c>
      <c r="C43" s="1220" t="s">
        <v>291</v>
      </c>
      <c r="D43" s="1224">
        <v>19</v>
      </c>
      <c r="E43" s="1224">
        <v>55360</v>
      </c>
      <c r="F43" s="1224">
        <f>D43*E43</f>
        <v>1051840</v>
      </c>
      <c r="G43" s="1226"/>
      <c r="H43" s="1226">
        <f t="shared" si="13"/>
        <v>1051840</v>
      </c>
    </row>
    <row r="44" spans="1:8" ht="18.75" customHeight="1" x14ac:dyDescent="0.2">
      <c r="A44" s="1220" t="s">
        <v>337</v>
      </c>
      <c r="B44" s="1221" t="s">
        <v>338</v>
      </c>
      <c r="C44" s="1220" t="s">
        <v>291</v>
      </c>
      <c r="D44" s="1224">
        <v>42</v>
      </c>
      <c r="E44" s="1224">
        <v>330000</v>
      </c>
      <c r="F44" s="1224">
        <f t="shared" ref="F44" si="14">D44*E44</f>
        <v>13860000</v>
      </c>
      <c r="G44" s="1226"/>
      <c r="H44" s="1226">
        <f t="shared" si="13"/>
        <v>13860000</v>
      </c>
    </row>
    <row r="45" spans="1:8" ht="18.75" customHeight="1" x14ac:dyDescent="0.2">
      <c r="A45" s="1220" t="s">
        <v>339</v>
      </c>
      <c r="B45" s="1221" t="s">
        <v>340</v>
      </c>
      <c r="C45" s="1220" t="s">
        <v>291</v>
      </c>
      <c r="D45" s="1224"/>
      <c r="E45" s="1224"/>
      <c r="F45" s="1224">
        <f>D45*E45</f>
        <v>0</v>
      </c>
      <c r="G45" s="1226"/>
      <c r="H45" s="1226">
        <f t="shared" si="13"/>
        <v>0</v>
      </c>
    </row>
    <row r="46" spans="1:8" ht="18.75" customHeight="1" x14ac:dyDescent="0.2">
      <c r="A46" s="1220" t="s">
        <v>341</v>
      </c>
      <c r="B46" s="1221" t="s">
        <v>342</v>
      </c>
      <c r="C46" s="1220" t="s">
        <v>291</v>
      </c>
      <c r="D46" s="1224"/>
      <c r="E46" s="1224"/>
      <c r="F46" s="1224">
        <f>D46*E46</f>
        <v>0</v>
      </c>
      <c r="G46" s="1226"/>
      <c r="H46" s="1226">
        <f t="shared" si="13"/>
        <v>0</v>
      </c>
    </row>
    <row r="47" spans="1:8" s="107" customFormat="1" ht="38.25" x14ac:dyDescent="0.2">
      <c r="A47" s="1215" t="s">
        <v>773</v>
      </c>
      <c r="B47" s="1233" t="s">
        <v>772</v>
      </c>
      <c r="C47" s="1215"/>
      <c r="D47" s="1234"/>
      <c r="E47" s="1235"/>
      <c r="F47" s="1235">
        <f>SUM(F48:F49)</f>
        <v>0</v>
      </c>
      <c r="G47" s="1237">
        <f t="shared" ref="G47:H47" si="15">SUM(G48:G49)</f>
        <v>0</v>
      </c>
      <c r="H47" s="1237">
        <f t="shared" si="15"/>
        <v>0</v>
      </c>
    </row>
    <row r="48" spans="1:8" ht="33.75" customHeight="1" x14ac:dyDescent="0.2">
      <c r="A48" s="1220" t="s">
        <v>343</v>
      </c>
      <c r="B48" s="1221" t="s">
        <v>344</v>
      </c>
      <c r="C48" s="1220" t="s">
        <v>291</v>
      </c>
      <c r="D48" s="1223"/>
      <c r="E48" s="1224"/>
      <c r="F48" s="1224"/>
      <c r="G48" s="1226"/>
      <c r="H48" s="1226">
        <f t="shared" ref="H48:H49" si="16">F48+G48</f>
        <v>0</v>
      </c>
    </row>
    <row r="49" spans="1:8" ht="18.75" customHeight="1" x14ac:dyDescent="0.2">
      <c r="A49" s="1220" t="s">
        <v>345</v>
      </c>
      <c r="B49" s="1221" t="s">
        <v>346</v>
      </c>
      <c r="C49" s="1220" t="s">
        <v>300</v>
      </c>
      <c r="D49" s="1227" t="s">
        <v>302</v>
      </c>
      <c r="E49" s="1224"/>
      <c r="F49" s="1224"/>
      <c r="G49" s="1226"/>
      <c r="H49" s="1226">
        <f t="shared" si="16"/>
        <v>0</v>
      </c>
    </row>
    <row r="50" spans="1:8" s="107" customFormat="1" ht="25.5" customHeight="1" x14ac:dyDescent="0.2">
      <c r="A50" s="1215" t="s">
        <v>775</v>
      </c>
      <c r="B50" s="1233" t="s">
        <v>774</v>
      </c>
      <c r="C50" s="1215"/>
      <c r="D50" s="1234"/>
      <c r="E50" s="1235"/>
      <c r="F50" s="1235">
        <f>SUM(F51:F53)</f>
        <v>0</v>
      </c>
      <c r="G50" s="1237">
        <f t="shared" ref="G50:H50" si="17">SUM(G51:G53)</f>
        <v>0</v>
      </c>
      <c r="H50" s="1237">
        <f t="shared" si="17"/>
        <v>0</v>
      </c>
    </row>
    <row r="51" spans="1:8" ht="27" customHeight="1" x14ac:dyDescent="0.2">
      <c r="A51" s="1220" t="s">
        <v>347</v>
      </c>
      <c r="B51" s="1221" t="s">
        <v>348</v>
      </c>
      <c r="C51" s="1220" t="s">
        <v>291</v>
      </c>
      <c r="D51" s="1223"/>
      <c r="E51" s="1224"/>
      <c r="F51" s="1224">
        <f>D51*E51</f>
        <v>0</v>
      </c>
      <c r="G51" s="1226"/>
      <c r="H51" s="1226">
        <f t="shared" ref="H51:H54" si="18">F51+G51</f>
        <v>0</v>
      </c>
    </row>
    <row r="52" spans="1:8" ht="18.75" customHeight="1" x14ac:dyDescent="0.2">
      <c r="A52" s="1220" t="s">
        <v>349</v>
      </c>
      <c r="B52" s="1221" t="s">
        <v>350</v>
      </c>
      <c r="C52" s="1220" t="s">
        <v>300</v>
      </c>
      <c r="D52" s="1224"/>
      <c r="E52" s="1224"/>
      <c r="F52" s="1224"/>
      <c r="G52" s="1226"/>
      <c r="H52" s="1226">
        <f t="shared" si="18"/>
        <v>0</v>
      </c>
    </row>
    <row r="53" spans="1:8" ht="29.25" customHeight="1" x14ac:dyDescent="0.2">
      <c r="A53" s="1220" t="s">
        <v>351</v>
      </c>
      <c r="B53" s="1221" t="s">
        <v>352</v>
      </c>
      <c r="C53" s="1220" t="s">
        <v>300</v>
      </c>
      <c r="D53" s="1224"/>
      <c r="E53" s="1224"/>
      <c r="F53" s="1224">
        <f>D53*E53</f>
        <v>0</v>
      </c>
      <c r="G53" s="1226"/>
      <c r="H53" s="1226">
        <f t="shared" si="18"/>
        <v>0</v>
      </c>
    </row>
    <row r="54" spans="1:8" s="107" customFormat="1" ht="25.5" customHeight="1" x14ac:dyDescent="0.2">
      <c r="A54" s="1215" t="s">
        <v>769</v>
      </c>
      <c r="B54" s="1233" t="s">
        <v>776</v>
      </c>
      <c r="C54" s="1220" t="s">
        <v>300</v>
      </c>
      <c r="D54" s="1234">
        <v>13678</v>
      </c>
      <c r="E54" s="1235">
        <v>570</v>
      </c>
      <c r="F54" s="1235">
        <f>D54*E54</f>
        <v>7796460</v>
      </c>
      <c r="G54" s="1237">
        <v>-1155960</v>
      </c>
      <c r="H54" s="1239">
        <f t="shared" si="18"/>
        <v>6640500</v>
      </c>
    </row>
    <row r="55" spans="1:8" ht="31.5" customHeight="1" x14ac:dyDescent="0.2">
      <c r="A55" s="1215" t="s">
        <v>353</v>
      </c>
      <c r="B55" s="1233" t="s">
        <v>354</v>
      </c>
      <c r="C55" s="1215" t="s">
        <v>300</v>
      </c>
      <c r="D55" s="1234"/>
      <c r="E55" s="1235"/>
      <c r="F55" s="1235">
        <f>SUM(F39,F40,F47,F50,F54)</f>
        <v>55117300</v>
      </c>
      <c r="G55" s="1237">
        <f t="shared" ref="G55:H55" si="19">SUM(G39,G40,G47,G50,G54)</f>
        <v>-1155960</v>
      </c>
      <c r="H55" s="1237">
        <f t="shared" si="19"/>
        <v>53961340</v>
      </c>
    </row>
    <row r="56" spans="1:8" ht="38.25" customHeight="1" x14ac:dyDescent="0.2">
      <c r="A56" s="1220" t="s">
        <v>355</v>
      </c>
      <c r="B56" s="1221" t="s">
        <v>356</v>
      </c>
      <c r="C56" s="1220" t="s">
        <v>357</v>
      </c>
      <c r="D56" s="1224">
        <v>2248</v>
      </c>
      <c r="E56" s="1224">
        <v>1210</v>
      </c>
      <c r="F56" s="1224">
        <f>D56*E56</f>
        <v>2720080</v>
      </c>
      <c r="G56" s="1226"/>
      <c r="H56" s="1226">
        <f t="shared" ref="H56:H57" si="20">F56+G56</f>
        <v>2720080</v>
      </c>
    </row>
    <row r="57" spans="1:8" ht="37.5" customHeight="1" x14ac:dyDescent="0.2">
      <c r="A57" s="1220" t="s">
        <v>358</v>
      </c>
      <c r="B57" s="1221" t="s">
        <v>359</v>
      </c>
      <c r="C57" s="1220" t="s">
        <v>357</v>
      </c>
      <c r="D57" s="1227"/>
      <c r="E57" s="1224"/>
      <c r="F57" s="1224"/>
      <c r="G57" s="1226"/>
      <c r="H57" s="1226">
        <f t="shared" si="20"/>
        <v>0</v>
      </c>
    </row>
    <row r="58" spans="1:8" ht="39" customHeight="1" x14ac:dyDescent="0.2">
      <c r="A58" s="1220" t="s">
        <v>360</v>
      </c>
      <c r="B58" s="1221" t="s">
        <v>361</v>
      </c>
      <c r="C58" s="1220" t="s">
        <v>357</v>
      </c>
      <c r="D58" s="1227"/>
      <c r="E58" s="1224"/>
      <c r="F58" s="1224">
        <f>SUM(F56:F57)</f>
        <v>2720080</v>
      </c>
      <c r="G58" s="1228">
        <f t="shared" ref="G58:H58" si="21">SUM(G56:G57)</f>
        <v>0</v>
      </c>
      <c r="H58" s="1228">
        <f t="shared" si="21"/>
        <v>2720080</v>
      </c>
    </row>
    <row r="59" spans="1:8" ht="18" customHeight="1" x14ac:dyDescent="0.2">
      <c r="A59" s="1215" t="s">
        <v>362</v>
      </c>
      <c r="B59" s="1233" t="s">
        <v>363</v>
      </c>
      <c r="C59" s="1215" t="s">
        <v>357</v>
      </c>
      <c r="D59" s="1234"/>
      <c r="E59" s="1235"/>
      <c r="F59" s="1235">
        <f>F58</f>
        <v>2720080</v>
      </c>
      <c r="G59" s="1237">
        <f t="shared" ref="G59:H59" si="22">G58</f>
        <v>0</v>
      </c>
      <c r="H59" s="1237">
        <f t="shared" si="22"/>
        <v>2720080</v>
      </c>
    </row>
    <row r="60" spans="1:8" ht="21.75" customHeight="1" x14ac:dyDescent="0.2">
      <c r="A60" s="1215"/>
      <c r="B60" s="1234" t="s">
        <v>364</v>
      </c>
      <c r="C60" s="1215"/>
      <c r="D60" s="1234"/>
      <c r="E60" s="1235"/>
      <c r="F60" s="1235">
        <f>F20+F38+F55+F59</f>
        <v>186370573.33333334</v>
      </c>
      <c r="G60" s="1237">
        <f t="shared" ref="G60:H60" si="23">G20+G38+G55+G59</f>
        <v>-613842</v>
      </c>
      <c r="H60" s="1237">
        <f t="shared" si="23"/>
        <v>185756731.33333334</v>
      </c>
    </row>
    <row r="64" spans="1:8" ht="18.75" customHeight="1" x14ac:dyDescent="0.25">
      <c r="C64" s="998"/>
      <c r="D64" s="998"/>
      <c r="E64" s="999"/>
      <c r="F64" s="1000"/>
    </row>
    <row r="65" spans="1:6" ht="18.75" customHeight="1" x14ac:dyDescent="0.2">
      <c r="C65" s="1001"/>
      <c r="D65" s="1001"/>
      <c r="E65" s="1002"/>
      <c r="F65" s="1003"/>
    </row>
    <row r="66" spans="1:6" ht="18.75" customHeight="1" x14ac:dyDescent="0.25">
      <c r="C66" s="998"/>
      <c r="D66" s="998"/>
      <c r="E66" s="999"/>
      <c r="F66" s="1000"/>
    </row>
    <row r="67" spans="1:6" ht="18.75" customHeight="1" x14ac:dyDescent="0.25">
      <c r="A67" s="106"/>
      <c r="C67" s="998"/>
      <c r="D67" s="998"/>
      <c r="E67" s="999"/>
      <c r="F67" s="1000"/>
    </row>
    <row r="68" spans="1:6" ht="18.75" customHeight="1" x14ac:dyDescent="0.25">
      <c r="A68" s="106"/>
      <c r="C68" s="998"/>
      <c r="D68" s="998"/>
      <c r="E68" s="999"/>
      <c r="F68" s="1000"/>
    </row>
    <row r="69" spans="1:6" ht="18.75" customHeight="1" x14ac:dyDescent="0.2">
      <c r="A69" s="106"/>
      <c r="C69" s="1004"/>
      <c r="D69" s="1004"/>
      <c r="E69" s="1005"/>
      <c r="F69" s="1003"/>
    </row>
    <row r="70" spans="1:6" x14ac:dyDescent="0.2">
      <c r="A70" s="106"/>
      <c r="D70" s="1006"/>
    </row>
  </sheetData>
  <mergeCells count="7">
    <mergeCell ref="H3:H4"/>
    <mergeCell ref="A1:F1"/>
    <mergeCell ref="A2:F2"/>
    <mergeCell ref="A3:A4"/>
    <mergeCell ref="B3:B4"/>
    <mergeCell ref="D3:F3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view="pageBreakPreview" zoomScale="6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9" sqref="B19"/>
    </sheetView>
  </sheetViews>
  <sheetFormatPr defaultColWidth="9.33203125" defaultRowHeight="12.75" x14ac:dyDescent="0.2"/>
  <cols>
    <col min="1" max="1" width="6.83203125" style="444" customWidth="1"/>
    <col min="2" max="2" width="99.1640625" style="444" customWidth="1"/>
    <col min="3" max="3" width="46.6640625" style="444" customWidth="1"/>
    <col min="4" max="6" width="9.33203125" style="444"/>
    <col min="7" max="7" width="11.1640625" style="444" bestFit="1" customWidth="1"/>
    <col min="8" max="8" width="9.83203125" style="444" bestFit="1" customWidth="1"/>
    <col min="9" max="16384" width="9.33203125" style="444"/>
  </cols>
  <sheetData>
    <row r="1" spans="1:3" ht="37.5" customHeight="1" x14ac:dyDescent="0.2">
      <c r="A1" s="1114" t="s">
        <v>729</v>
      </c>
      <c r="B1" s="1114"/>
      <c r="C1" s="1114"/>
    </row>
    <row r="2" spans="1:3" ht="15.75" customHeight="1" x14ac:dyDescent="0.2"/>
    <row r="3" spans="1:3" ht="18" customHeight="1" x14ac:dyDescent="0.2">
      <c r="A3" s="1115" t="s">
        <v>365</v>
      </c>
      <c r="B3" s="1118" t="s">
        <v>262</v>
      </c>
      <c r="C3" s="1121" t="s">
        <v>916</v>
      </c>
    </row>
    <row r="4" spans="1:3" ht="18" customHeight="1" x14ac:dyDescent="0.2">
      <c r="A4" s="1116"/>
      <c r="B4" s="1119"/>
      <c r="C4" s="1122"/>
    </row>
    <row r="5" spans="1:3" ht="18.75" customHeight="1" x14ac:dyDescent="0.2">
      <c r="A5" s="1116"/>
      <c r="B5" s="1119"/>
      <c r="C5" s="1122"/>
    </row>
    <row r="6" spans="1:3" x14ac:dyDescent="0.2">
      <c r="A6" s="1117"/>
      <c r="B6" s="1120"/>
      <c r="C6" s="1123"/>
    </row>
    <row r="7" spans="1:3" ht="31.5" customHeight="1" x14ac:dyDescent="0.2">
      <c r="A7" s="514" t="s">
        <v>9</v>
      </c>
      <c r="B7" s="1033" t="s">
        <v>897</v>
      </c>
      <c r="C7" s="515">
        <f>'8.sz.mell. '!C122</f>
        <v>6985000</v>
      </c>
    </row>
    <row r="8" spans="1:3" ht="31.5" customHeight="1" x14ac:dyDescent="0.2">
      <c r="A8" s="445" t="s">
        <v>12</v>
      </c>
      <c r="B8" s="1034" t="s">
        <v>899</v>
      </c>
      <c r="C8" s="516">
        <f>'8.sz.mell. '!C58</f>
        <v>2980842</v>
      </c>
    </row>
    <row r="9" spans="1:3" ht="31.5" customHeight="1" x14ac:dyDescent="0.2">
      <c r="A9" s="445" t="s">
        <v>15</v>
      </c>
      <c r="B9" s="1034" t="s">
        <v>901</v>
      </c>
      <c r="C9" s="516">
        <v>89745808</v>
      </c>
    </row>
    <row r="10" spans="1:3" ht="25.5" customHeight="1" x14ac:dyDescent="0.2">
      <c r="A10" s="445" t="s">
        <v>18</v>
      </c>
      <c r="B10" s="1034" t="s">
        <v>902</v>
      </c>
      <c r="C10" s="516">
        <v>8368284</v>
      </c>
    </row>
    <row r="11" spans="1:3" ht="25.5" customHeight="1" x14ac:dyDescent="0.2">
      <c r="A11" s="445" t="s">
        <v>21</v>
      </c>
      <c r="B11" s="1034" t="s">
        <v>903</v>
      </c>
      <c r="C11" s="517">
        <v>110000</v>
      </c>
    </row>
    <row r="12" spans="1:3" ht="25.5" customHeight="1" x14ac:dyDescent="0.2">
      <c r="A12" s="445" t="s">
        <v>24</v>
      </c>
      <c r="B12" s="1034" t="s">
        <v>904</v>
      </c>
      <c r="C12" s="517">
        <v>63500</v>
      </c>
    </row>
    <row r="13" spans="1:3" ht="25.5" customHeight="1" x14ac:dyDescent="0.2">
      <c r="A13" s="445" t="s">
        <v>27</v>
      </c>
      <c r="B13" s="1034" t="s">
        <v>905</v>
      </c>
      <c r="C13" s="517">
        <v>628650</v>
      </c>
    </row>
    <row r="14" spans="1:3" ht="25.5" customHeight="1" x14ac:dyDescent="0.2">
      <c r="A14" s="445" t="s">
        <v>30</v>
      </c>
      <c r="B14" s="1034" t="s">
        <v>906</v>
      </c>
      <c r="C14" s="517">
        <v>2209800</v>
      </c>
    </row>
    <row r="15" spans="1:3" ht="25.5" customHeight="1" x14ac:dyDescent="0.2">
      <c r="A15" s="445" t="s">
        <v>33</v>
      </c>
      <c r="B15" s="1034" t="s">
        <v>915</v>
      </c>
      <c r="C15" s="517">
        <v>2018666</v>
      </c>
    </row>
    <row r="16" spans="1:3" ht="25.5" customHeight="1" x14ac:dyDescent="0.2">
      <c r="A16" s="445" t="s">
        <v>36</v>
      </c>
      <c r="B16" s="1034" t="s">
        <v>910</v>
      </c>
      <c r="C16" s="517">
        <v>100000</v>
      </c>
    </row>
    <row r="17" spans="1:3" ht="25.5" customHeight="1" x14ac:dyDescent="0.2">
      <c r="A17" s="445" t="s">
        <v>38</v>
      </c>
      <c r="B17" s="1034" t="s">
        <v>907</v>
      </c>
      <c r="C17" s="517">
        <v>300000</v>
      </c>
    </row>
    <row r="18" spans="1:3" ht="25.5" customHeight="1" x14ac:dyDescent="0.2">
      <c r="A18" s="445" t="s">
        <v>40</v>
      </c>
      <c r="B18" s="1034" t="s">
        <v>908</v>
      </c>
      <c r="C18" s="517">
        <v>100000</v>
      </c>
    </row>
    <row r="19" spans="1:3" ht="25.5" customHeight="1" x14ac:dyDescent="0.2">
      <c r="A19" s="445" t="s">
        <v>42</v>
      </c>
      <c r="B19" s="1034" t="s">
        <v>909</v>
      </c>
      <c r="C19" s="517">
        <v>150000</v>
      </c>
    </row>
    <row r="20" spans="1:3" ht="25.5" customHeight="1" x14ac:dyDescent="0.2">
      <c r="A20" s="445" t="s">
        <v>44</v>
      </c>
      <c r="B20" s="1034" t="s">
        <v>911</v>
      </c>
      <c r="C20" s="517">
        <v>390000</v>
      </c>
    </row>
    <row r="21" spans="1:3" ht="25.5" customHeight="1" x14ac:dyDescent="0.2">
      <c r="A21" s="445" t="s">
        <v>46</v>
      </c>
      <c r="B21" s="1034" t="s">
        <v>912</v>
      </c>
      <c r="C21" s="517">
        <v>300000</v>
      </c>
    </row>
    <row r="22" spans="1:3" ht="25.5" customHeight="1" x14ac:dyDescent="0.2">
      <c r="A22" s="445" t="s">
        <v>48</v>
      </c>
      <c r="B22" s="1034" t="s">
        <v>913</v>
      </c>
      <c r="C22" s="517">
        <v>100000</v>
      </c>
    </row>
    <row r="23" spans="1:3" ht="25.5" customHeight="1" x14ac:dyDescent="0.2">
      <c r="A23" s="445" t="s">
        <v>50</v>
      </c>
      <c r="B23" s="1034" t="s">
        <v>914</v>
      </c>
      <c r="C23" s="517">
        <v>60000</v>
      </c>
    </row>
    <row r="24" spans="1:3" ht="25.5" customHeight="1" x14ac:dyDescent="0.2">
      <c r="A24" s="1032" t="s">
        <v>53</v>
      </c>
      <c r="B24" s="518" t="s">
        <v>560</v>
      </c>
      <c r="C24" s="519">
        <f>SUM(C7:C23)</f>
        <v>114610550</v>
      </c>
    </row>
    <row r="25" spans="1:3" x14ac:dyDescent="0.2">
      <c r="A25" s="445" t="s">
        <v>56</v>
      </c>
      <c r="B25" s="1033" t="s">
        <v>896</v>
      </c>
      <c r="C25" s="515">
        <f>'8.sz.mell. '!C123</f>
        <v>32532320</v>
      </c>
    </row>
    <row r="26" spans="1:3" ht="25.5" customHeight="1" x14ac:dyDescent="0.2">
      <c r="A26" s="445" t="s">
        <v>59</v>
      </c>
      <c r="B26" s="1033" t="s">
        <v>898</v>
      </c>
      <c r="C26" s="516">
        <f>'8.sz.mell. '!C59</f>
        <v>10595394</v>
      </c>
    </row>
    <row r="27" spans="1:3" ht="25.5" customHeight="1" x14ac:dyDescent="0.2">
      <c r="A27" s="445" t="s">
        <v>61</v>
      </c>
      <c r="B27" s="1033" t="s">
        <v>900</v>
      </c>
      <c r="C27" s="516">
        <v>150000</v>
      </c>
    </row>
    <row r="28" spans="1:3" ht="25.5" customHeight="1" x14ac:dyDescent="0.2">
      <c r="A28" s="1032" t="s">
        <v>63</v>
      </c>
      <c r="B28" s="518" t="s">
        <v>607</v>
      </c>
      <c r="C28" s="519">
        <f>SUM(C25:C27)</f>
        <v>43277714</v>
      </c>
    </row>
    <row r="29" spans="1:3" ht="25.5" customHeight="1" x14ac:dyDescent="0.2">
      <c r="A29" s="1035" t="s">
        <v>65</v>
      </c>
      <c r="B29" s="518" t="s">
        <v>364</v>
      </c>
      <c r="C29" s="519">
        <f>SUM(C24+C28)</f>
        <v>157888264</v>
      </c>
    </row>
    <row r="30" spans="1:3" ht="17.25" customHeight="1" x14ac:dyDescent="0.2">
      <c r="A30" s="446"/>
    </row>
    <row r="31" spans="1:3" ht="17.25" customHeight="1" x14ac:dyDescent="0.2">
      <c r="A31" s="446"/>
    </row>
  </sheetData>
  <sheetProtection algorithmName="SHA-512" hashValue="II+n7pfpwAflwNCOo64fOXbd7w4xarAX6nwEQ/akBQkTFHjTZVehg6OKn4GyIo8gpGMeQUj18unI6TMT0+qYlA==" saltValue="XUICelWEoMjxJQ20/Xs+gQ==" spinCount="100000" sheet="1" objects="1" scenarios="1" selectLockedCells="1" selectUnlockedCells="1"/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61" orientation="landscape" horizontalDpi="300" verticalDpi="300" r:id="rId1"/>
  <headerFooter alignWithMargins="0">
    <oddHeader xml:space="preserve">&amp;R&amp;"Times New Roman CE,Félkövér dőlt"&amp;11 4. melléklet a ....../2018. (......) önkormányzati rendelethez
&amp;"Times New Roman CE,Normál"&amp;10
   </oddHeader>
  </headerFooter>
  <rowBreaks count="1" manualBreakCount="1">
    <brk id="29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view="pageBreakPreview" zoomScale="130" zoomScaleNormal="100" zoomScaleSheetLayoutView="130" workbookViewId="0">
      <selection activeCell="B10" sqref="B10:D10"/>
    </sheetView>
  </sheetViews>
  <sheetFormatPr defaultColWidth="9.33203125" defaultRowHeight="15" x14ac:dyDescent="0.25"/>
  <cols>
    <col min="1" max="1" width="8.5" style="110" customWidth="1"/>
    <col min="2" max="2" width="9.33203125" style="110"/>
    <col min="3" max="3" width="22.1640625" style="110" customWidth="1"/>
    <col min="4" max="4" width="44.83203125" style="110" customWidth="1"/>
    <col min="5" max="5" width="26" style="112" customWidth="1"/>
    <col min="6" max="6" width="14.33203125" style="512" customWidth="1"/>
    <col min="7" max="16384" width="9.33203125" style="110"/>
  </cols>
  <sheetData>
    <row r="1" spans="1:6" ht="41.25" customHeight="1" x14ac:dyDescent="0.25">
      <c r="A1" s="1131" t="s">
        <v>730</v>
      </c>
      <c r="B1" s="1132"/>
      <c r="C1" s="1132"/>
      <c r="D1" s="1132"/>
      <c r="E1" s="1132"/>
    </row>
    <row r="2" spans="1:6" x14ac:dyDescent="0.25">
      <c r="A2" s="111"/>
      <c r="B2" s="111"/>
      <c r="C2" s="111"/>
      <c r="D2" s="111"/>
    </row>
    <row r="3" spans="1:6" x14ac:dyDescent="0.25">
      <c r="A3" s="111"/>
      <c r="B3" s="111"/>
      <c r="C3" s="111"/>
      <c r="D3" s="111"/>
      <c r="E3" s="113" t="s">
        <v>1</v>
      </c>
    </row>
    <row r="4" spans="1:6" ht="33" customHeight="1" thickBot="1" x14ac:dyDescent="0.3">
      <c r="A4" s="510" t="s">
        <v>365</v>
      </c>
      <c r="B4" s="1133" t="s">
        <v>369</v>
      </c>
      <c r="C4" s="1133"/>
      <c r="D4" s="1133"/>
      <c r="E4" s="511" t="s">
        <v>370</v>
      </c>
    </row>
    <row r="5" spans="1:6" ht="21.75" customHeight="1" x14ac:dyDescent="0.25">
      <c r="A5" s="520" t="s">
        <v>9</v>
      </c>
      <c r="B5" s="1134" t="s">
        <v>865</v>
      </c>
      <c r="C5" s="1135"/>
      <c r="D5" s="1136"/>
      <c r="E5" s="1028">
        <v>250000</v>
      </c>
      <c r="F5" s="985"/>
    </row>
    <row r="6" spans="1:6" ht="21.75" customHeight="1" x14ac:dyDescent="0.25">
      <c r="A6" s="521" t="s">
        <v>12</v>
      </c>
      <c r="B6" s="1137" t="s">
        <v>866</v>
      </c>
      <c r="C6" s="1138"/>
      <c r="D6" s="1139"/>
      <c r="E6" s="1029">
        <v>250000</v>
      </c>
    </row>
    <row r="7" spans="1:6" ht="21.75" customHeight="1" x14ac:dyDescent="0.25">
      <c r="A7" s="520" t="s">
        <v>15</v>
      </c>
      <c r="B7" s="1137" t="s">
        <v>867</v>
      </c>
      <c r="C7" s="1138"/>
      <c r="D7" s="1139"/>
      <c r="E7" s="1029">
        <v>700000</v>
      </c>
    </row>
    <row r="8" spans="1:6" ht="21.75" customHeight="1" x14ac:dyDescent="0.25">
      <c r="A8" s="521" t="s">
        <v>18</v>
      </c>
      <c r="B8" s="1137" t="s">
        <v>868</v>
      </c>
      <c r="C8" s="1138"/>
      <c r="D8" s="1139"/>
      <c r="E8" s="1029">
        <v>250000</v>
      </c>
    </row>
    <row r="9" spans="1:6" ht="21.75" customHeight="1" x14ac:dyDescent="0.25">
      <c r="A9" s="520" t="s">
        <v>21</v>
      </c>
      <c r="B9" s="1137" t="s">
        <v>869</v>
      </c>
      <c r="C9" s="1138"/>
      <c r="D9" s="1139"/>
      <c r="E9" s="1029">
        <v>200000</v>
      </c>
    </row>
    <row r="10" spans="1:6" ht="29.25" customHeight="1" x14ac:dyDescent="0.25">
      <c r="A10" s="521" t="s">
        <v>24</v>
      </c>
      <c r="B10" s="1137" t="s">
        <v>870</v>
      </c>
      <c r="C10" s="1138"/>
      <c r="D10" s="1139"/>
      <c r="E10" s="1029">
        <v>850000</v>
      </c>
    </row>
    <row r="11" spans="1:6" ht="21.75" customHeight="1" x14ac:dyDescent="0.25">
      <c r="A11" s="520" t="s">
        <v>27</v>
      </c>
      <c r="B11" s="1137" t="s">
        <v>871</v>
      </c>
      <c r="C11" s="1138"/>
      <c r="D11" s="1139"/>
      <c r="E11" s="1029">
        <v>200000</v>
      </c>
    </row>
    <row r="12" spans="1:6" ht="21.75" customHeight="1" x14ac:dyDescent="0.25">
      <c r="A12" s="522">
        <v>8</v>
      </c>
      <c r="B12" s="1127" t="s">
        <v>219</v>
      </c>
      <c r="C12" s="1128"/>
      <c r="D12" s="1128"/>
      <c r="E12" s="523">
        <f>SUM(E5:E11)</f>
        <v>2700000</v>
      </c>
    </row>
    <row r="13" spans="1:6" ht="21.75" customHeight="1" x14ac:dyDescent="0.25">
      <c r="A13" s="522">
        <v>9</v>
      </c>
      <c r="B13" s="1129" t="s">
        <v>559</v>
      </c>
      <c r="C13" s="1130"/>
      <c r="D13" s="1130"/>
      <c r="E13" s="523">
        <v>0</v>
      </c>
    </row>
    <row r="14" spans="1:6" s="114" customFormat="1" ht="24" customHeight="1" x14ac:dyDescent="0.3">
      <c r="A14" s="1124" t="s">
        <v>545</v>
      </c>
      <c r="B14" s="1125"/>
      <c r="C14" s="1125"/>
      <c r="D14" s="1125"/>
      <c r="E14" s="524">
        <f>SUM(E12+E13)</f>
        <v>2700000</v>
      </c>
      <c r="F14" s="513"/>
    </row>
    <row r="15" spans="1:6" x14ac:dyDescent="0.25">
      <c r="A15" s="115"/>
      <c r="B15" s="1126"/>
      <c r="C15" s="1126"/>
      <c r="D15" s="1126"/>
      <c r="E15" s="116"/>
    </row>
  </sheetData>
  <sheetProtection algorithmName="SHA-512" hashValue="lkU2wYOyzVOfer9W3olrKKMV6QNlqL1L1KVq/3C6IY8lxGFBbDl7b9wIpH6DNOicbVdc/lAnhndqhHpQSvVUXA==" saltValue="oVaOLCIUnZarvsKsEfUmpQ==" spinCount="100000" sheet="1" objects="1" scenarios="1" selectLockedCells="1" selectUnlockedCells="1"/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......./2018.(...)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view="pageBreakPreview" zoomScale="60" zoomScaleNormal="100" workbookViewId="0">
      <selection sqref="A1:C1"/>
    </sheetView>
  </sheetViews>
  <sheetFormatPr defaultColWidth="10.6640625" defaultRowHeight="12.75" x14ac:dyDescent="0.2"/>
  <cols>
    <col min="1" max="1" width="11.33203125" style="485" customWidth="1"/>
    <col min="2" max="2" width="46" style="485" customWidth="1"/>
    <col min="3" max="3" width="28.5" style="485" customWidth="1"/>
    <col min="4" max="252" width="10.6640625" style="485"/>
    <col min="253" max="253" width="7" style="485" customWidth="1"/>
    <col min="254" max="254" width="34.5" style="485" customWidth="1"/>
    <col min="255" max="255" width="11" style="485" customWidth="1"/>
    <col min="256" max="256" width="16.83203125" style="485" customWidth="1"/>
    <col min="257" max="257" width="17.1640625" style="485" customWidth="1"/>
    <col min="258" max="258" width="15.33203125" style="485" customWidth="1"/>
    <col min="259" max="259" width="15.5" style="485" customWidth="1"/>
    <col min="260" max="508" width="10.6640625" style="485"/>
    <col min="509" max="509" width="7" style="485" customWidth="1"/>
    <col min="510" max="510" width="34.5" style="485" customWidth="1"/>
    <col min="511" max="511" width="11" style="485" customWidth="1"/>
    <col min="512" max="512" width="16.83203125" style="485" customWidth="1"/>
    <col min="513" max="513" width="17.1640625" style="485" customWidth="1"/>
    <col min="514" max="514" width="15.33203125" style="485" customWidth="1"/>
    <col min="515" max="515" width="15.5" style="485" customWidth="1"/>
    <col min="516" max="764" width="10.6640625" style="485"/>
    <col min="765" max="765" width="7" style="485" customWidth="1"/>
    <col min="766" max="766" width="34.5" style="485" customWidth="1"/>
    <col min="767" max="767" width="11" style="485" customWidth="1"/>
    <col min="768" max="768" width="16.83203125" style="485" customWidth="1"/>
    <col min="769" max="769" width="17.1640625" style="485" customWidth="1"/>
    <col min="770" max="770" width="15.33203125" style="485" customWidth="1"/>
    <col min="771" max="771" width="15.5" style="485" customWidth="1"/>
    <col min="772" max="1020" width="10.6640625" style="485"/>
    <col min="1021" max="1021" width="7" style="485" customWidth="1"/>
    <col min="1022" max="1022" width="34.5" style="485" customWidth="1"/>
    <col min="1023" max="1023" width="11" style="485" customWidth="1"/>
    <col min="1024" max="1024" width="16.83203125" style="485" customWidth="1"/>
    <col min="1025" max="1025" width="17.1640625" style="485" customWidth="1"/>
    <col min="1026" max="1026" width="15.33203125" style="485" customWidth="1"/>
    <col min="1027" max="1027" width="15.5" style="485" customWidth="1"/>
    <col min="1028" max="1276" width="10.6640625" style="485"/>
    <col min="1277" max="1277" width="7" style="485" customWidth="1"/>
    <col min="1278" max="1278" width="34.5" style="485" customWidth="1"/>
    <col min="1279" max="1279" width="11" style="485" customWidth="1"/>
    <col min="1280" max="1280" width="16.83203125" style="485" customWidth="1"/>
    <col min="1281" max="1281" width="17.1640625" style="485" customWidth="1"/>
    <col min="1282" max="1282" width="15.33203125" style="485" customWidth="1"/>
    <col min="1283" max="1283" width="15.5" style="485" customWidth="1"/>
    <col min="1284" max="1532" width="10.6640625" style="485"/>
    <col min="1533" max="1533" width="7" style="485" customWidth="1"/>
    <col min="1534" max="1534" width="34.5" style="485" customWidth="1"/>
    <col min="1535" max="1535" width="11" style="485" customWidth="1"/>
    <col min="1536" max="1536" width="16.83203125" style="485" customWidth="1"/>
    <col min="1537" max="1537" width="17.1640625" style="485" customWidth="1"/>
    <col min="1538" max="1538" width="15.33203125" style="485" customWidth="1"/>
    <col min="1539" max="1539" width="15.5" style="485" customWidth="1"/>
    <col min="1540" max="1788" width="10.6640625" style="485"/>
    <col min="1789" max="1789" width="7" style="485" customWidth="1"/>
    <col min="1790" max="1790" width="34.5" style="485" customWidth="1"/>
    <col min="1791" max="1791" width="11" style="485" customWidth="1"/>
    <col min="1792" max="1792" width="16.83203125" style="485" customWidth="1"/>
    <col min="1793" max="1793" width="17.1640625" style="485" customWidth="1"/>
    <col min="1794" max="1794" width="15.33203125" style="485" customWidth="1"/>
    <col min="1795" max="1795" width="15.5" style="485" customWidth="1"/>
    <col min="1796" max="2044" width="10.6640625" style="485"/>
    <col min="2045" max="2045" width="7" style="485" customWidth="1"/>
    <col min="2046" max="2046" width="34.5" style="485" customWidth="1"/>
    <col min="2047" max="2047" width="11" style="485" customWidth="1"/>
    <col min="2048" max="2048" width="16.83203125" style="485" customWidth="1"/>
    <col min="2049" max="2049" width="17.1640625" style="485" customWidth="1"/>
    <col min="2050" max="2050" width="15.33203125" style="485" customWidth="1"/>
    <col min="2051" max="2051" width="15.5" style="485" customWidth="1"/>
    <col min="2052" max="2300" width="10.6640625" style="485"/>
    <col min="2301" max="2301" width="7" style="485" customWidth="1"/>
    <col min="2302" max="2302" width="34.5" style="485" customWidth="1"/>
    <col min="2303" max="2303" width="11" style="485" customWidth="1"/>
    <col min="2304" max="2304" width="16.83203125" style="485" customWidth="1"/>
    <col min="2305" max="2305" width="17.1640625" style="485" customWidth="1"/>
    <col min="2306" max="2306" width="15.33203125" style="485" customWidth="1"/>
    <col min="2307" max="2307" width="15.5" style="485" customWidth="1"/>
    <col min="2308" max="2556" width="10.6640625" style="485"/>
    <col min="2557" max="2557" width="7" style="485" customWidth="1"/>
    <col min="2558" max="2558" width="34.5" style="485" customWidth="1"/>
    <col min="2559" max="2559" width="11" style="485" customWidth="1"/>
    <col min="2560" max="2560" width="16.83203125" style="485" customWidth="1"/>
    <col min="2561" max="2561" width="17.1640625" style="485" customWidth="1"/>
    <col min="2562" max="2562" width="15.33203125" style="485" customWidth="1"/>
    <col min="2563" max="2563" width="15.5" style="485" customWidth="1"/>
    <col min="2564" max="2812" width="10.6640625" style="485"/>
    <col min="2813" max="2813" width="7" style="485" customWidth="1"/>
    <col min="2814" max="2814" width="34.5" style="485" customWidth="1"/>
    <col min="2815" max="2815" width="11" style="485" customWidth="1"/>
    <col min="2816" max="2816" width="16.83203125" style="485" customWidth="1"/>
    <col min="2817" max="2817" width="17.1640625" style="485" customWidth="1"/>
    <col min="2818" max="2818" width="15.33203125" style="485" customWidth="1"/>
    <col min="2819" max="2819" width="15.5" style="485" customWidth="1"/>
    <col min="2820" max="3068" width="10.6640625" style="485"/>
    <col min="3069" max="3069" width="7" style="485" customWidth="1"/>
    <col min="3070" max="3070" width="34.5" style="485" customWidth="1"/>
    <col min="3071" max="3071" width="11" style="485" customWidth="1"/>
    <col min="3072" max="3072" width="16.83203125" style="485" customWidth="1"/>
    <col min="3073" max="3073" width="17.1640625" style="485" customWidth="1"/>
    <col min="3074" max="3074" width="15.33203125" style="485" customWidth="1"/>
    <col min="3075" max="3075" width="15.5" style="485" customWidth="1"/>
    <col min="3076" max="3324" width="10.6640625" style="485"/>
    <col min="3325" max="3325" width="7" style="485" customWidth="1"/>
    <col min="3326" max="3326" width="34.5" style="485" customWidth="1"/>
    <col min="3327" max="3327" width="11" style="485" customWidth="1"/>
    <col min="3328" max="3328" width="16.83203125" style="485" customWidth="1"/>
    <col min="3329" max="3329" width="17.1640625" style="485" customWidth="1"/>
    <col min="3330" max="3330" width="15.33203125" style="485" customWidth="1"/>
    <col min="3331" max="3331" width="15.5" style="485" customWidth="1"/>
    <col min="3332" max="3580" width="10.6640625" style="485"/>
    <col min="3581" max="3581" width="7" style="485" customWidth="1"/>
    <col min="3582" max="3582" width="34.5" style="485" customWidth="1"/>
    <col min="3583" max="3583" width="11" style="485" customWidth="1"/>
    <col min="3584" max="3584" width="16.83203125" style="485" customWidth="1"/>
    <col min="3585" max="3585" width="17.1640625" style="485" customWidth="1"/>
    <col min="3586" max="3586" width="15.33203125" style="485" customWidth="1"/>
    <col min="3587" max="3587" width="15.5" style="485" customWidth="1"/>
    <col min="3588" max="3836" width="10.6640625" style="485"/>
    <col min="3837" max="3837" width="7" style="485" customWidth="1"/>
    <col min="3838" max="3838" width="34.5" style="485" customWidth="1"/>
    <col min="3839" max="3839" width="11" style="485" customWidth="1"/>
    <col min="3840" max="3840" width="16.83203125" style="485" customWidth="1"/>
    <col min="3841" max="3841" width="17.1640625" style="485" customWidth="1"/>
    <col min="3842" max="3842" width="15.33203125" style="485" customWidth="1"/>
    <col min="3843" max="3843" width="15.5" style="485" customWidth="1"/>
    <col min="3844" max="4092" width="10.6640625" style="485"/>
    <col min="4093" max="4093" width="7" style="485" customWidth="1"/>
    <col min="4094" max="4094" width="34.5" style="485" customWidth="1"/>
    <col min="4095" max="4095" width="11" style="485" customWidth="1"/>
    <col min="4096" max="4096" width="16.83203125" style="485" customWidth="1"/>
    <col min="4097" max="4097" width="17.1640625" style="485" customWidth="1"/>
    <col min="4098" max="4098" width="15.33203125" style="485" customWidth="1"/>
    <col min="4099" max="4099" width="15.5" style="485" customWidth="1"/>
    <col min="4100" max="4348" width="10.6640625" style="485"/>
    <col min="4349" max="4349" width="7" style="485" customWidth="1"/>
    <col min="4350" max="4350" width="34.5" style="485" customWidth="1"/>
    <col min="4351" max="4351" width="11" style="485" customWidth="1"/>
    <col min="4352" max="4352" width="16.83203125" style="485" customWidth="1"/>
    <col min="4353" max="4353" width="17.1640625" style="485" customWidth="1"/>
    <col min="4354" max="4354" width="15.33203125" style="485" customWidth="1"/>
    <col min="4355" max="4355" width="15.5" style="485" customWidth="1"/>
    <col min="4356" max="4604" width="10.6640625" style="485"/>
    <col min="4605" max="4605" width="7" style="485" customWidth="1"/>
    <col min="4606" max="4606" width="34.5" style="485" customWidth="1"/>
    <col min="4607" max="4607" width="11" style="485" customWidth="1"/>
    <col min="4608" max="4608" width="16.83203125" style="485" customWidth="1"/>
    <col min="4609" max="4609" width="17.1640625" style="485" customWidth="1"/>
    <col min="4610" max="4610" width="15.33203125" style="485" customWidth="1"/>
    <col min="4611" max="4611" width="15.5" style="485" customWidth="1"/>
    <col min="4612" max="4860" width="10.6640625" style="485"/>
    <col min="4861" max="4861" width="7" style="485" customWidth="1"/>
    <col min="4862" max="4862" width="34.5" style="485" customWidth="1"/>
    <col min="4863" max="4863" width="11" style="485" customWidth="1"/>
    <col min="4864" max="4864" width="16.83203125" style="485" customWidth="1"/>
    <col min="4865" max="4865" width="17.1640625" style="485" customWidth="1"/>
    <col min="4866" max="4866" width="15.33203125" style="485" customWidth="1"/>
    <col min="4867" max="4867" width="15.5" style="485" customWidth="1"/>
    <col min="4868" max="5116" width="10.6640625" style="485"/>
    <col min="5117" max="5117" width="7" style="485" customWidth="1"/>
    <col min="5118" max="5118" width="34.5" style="485" customWidth="1"/>
    <col min="5119" max="5119" width="11" style="485" customWidth="1"/>
    <col min="5120" max="5120" width="16.83203125" style="485" customWidth="1"/>
    <col min="5121" max="5121" width="17.1640625" style="485" customWidth="1"/>
    <col min="5122" max="5122" width="15.33203125" style="485" customWidth="1"/>
    <col min="5123" max="5123" width="15.5" style="485" customWidth="1"/>
    <col min="5124" max="5372" width="10.6640625" style="485"/>
    <col min="5373" max="5373" width="7" style="485" customWidth="1"/>
    <col min="5374" max="5374" width="34.5" style="485" customWidth="1"/>
    <col min="5375" max="5375" width="11" style="485" customWidth="1"/>
    <col min="5376" max="5376" width="16.83203125" style="485" customWidth="1"/>
    <col min="5377" max="5377" width="17.1640625" style="485" customWidth="1"/>
    <col min="5378" max="5378" width="15.33203125" style="485" customWidth="1"/>
    <col min="5379" max="5379" width="15.5" style="485" customWidth="1"/>
    <col min="5380" max="5628" width="10.6640625" style="485"/>
    <col min="5629" max="5629" width="7" style="485" customWidth="1"/>
    <col min="5630" max="5630" width="34.5" style="485" customWidth="1"/>
    <col min="5631" max="5631" width="11" style="485" customWidth="1"/>
    <col min="5632" max="5632" width="16.83203125" style="485" customWidth="1"/>
    <col min="5633" max="5633" width="17.1640625" style="485" customWidth="1"/>
    <col min="5634" max="5634" width="15.33203125" style="485" customWidth="1"/>
    <col min="5635" max="5635" width="15.5" style="485" customWidth="1"/>
    <col min="5636" max="5884" width="10.6640625" style="485"/>
    <col min="5885" max="5885" width="7" style="485" customWidth="1"/>
    <col min="5886" max="5886" width="34.5" style="485" customWidth="1"/>
    <col min="5887" max="5887" width="11" style="485" customWidth="1"/>
    <col min="5888" max="5888" width="16.83203125" style="485" customWidth="1"/>
    <col min="5889" max="5889" width="17.1640625" style="485" customWidth="1"/>
    <col min="5890" max="5890" width="15.33203125" style="485" customWidth="1"/>
    <col min="5891" max="5891" width="15.5" style="485" customWidth="1"/>
    <col min="5892" max="6140" width="10.6640625" style="485"/>
    <col min="6141" max="6141" width="7" style="485" customWidth="1"/>
    <col min="6142" max="6142" width="34.5" style="485" customWidth="1"/>
    <col min="6143" max="6143" width="11" style="485" customWidth="1"/>
    <col min="6144" max="6144" width="16.83203125" style="485" customWidth="1"/>
    <col min="6145" max="6145" width="17.1640625" style="485" customWidth="1"/>
    <col min="6146" max="6146" width="15.33203125" style="485" customWidth="1"/>
    <col min="6147" max="6147" width="15.5" style="485" customWidth="1"/>
    <col min="6148" max="6396" width="10.6640625" style="485"/>
    <col min="6397" max="6397" width="7" style="485" customWidth="1"/>
    <col min="6398" max="6398" width="34.5" style="485" customWidth="1"/>
    <col min="6399" max="6399" width="11" style="485" customWidth="1"/>
    <col min="6400" max="6400" width="16.83203125" style="485" customWidth="1"/>
    <col min="6401" max="6401" width="17.1640625" style="485" customWidth="1"/>
    <col min="6402" max="6402" width="15.33203125" style="485" customWidth="1"/>
    <col min="6403" max="6403" width="15.5" style="485" customWidth="1"/>
    <col min="6404" max="6652" width="10.6640625" style="485"/>
    <col min="6653" max="6653" width="7" style="485" customWidth="1"/>
    <col min="6654" max="6654" width="34.5" style="485" customWidth="1"/>
    <col min="6655" max="6655" width="11" style="485" customWidth="1"/>
    <col min="6656" max="6656" width="16.83203125" style="485" customWidth="1"/>
    <col min="6657" max="6657" width="17.1640625" style="485" customWidth="1"/>
    <col min="6658" max="6658" width="15.33203125" style="485" customWidth="1"/>
    <col min="6659" max="6659" width="15.5" style="485" customWidth="1"/>
    <col min="6660" max="6908" width="10.6640625" style="485"/>
    <col min="6909" max="6909" width="7" style="485" customWidth="1"/>
    <col min="6910" max="6910" width="34.5" style="485" customWidth="1"/>
    <col min="6911" max="6911" width="11" style="485" customWidth="1"/>
    <col min="6912" max="6912" width="16.83203125" style="485" customWidth="1"/>
    <col min="6913" max="6913" width="17.1640625" style="485" customWidth="1"/>
    <col min="6914" max="6914" width="15.33203125" style="485" customWidth="1"/>
    <col min="6915" max="6915" width="15.5" style="485" customWidth="1"/>
    <col min="6916" max="7164" width="10.6640625" style="485"/>
    <col min="7165" max="7165" width="7" style="485" customWidth="1"/>
    <col min="7166" max="7166" width="34.5" style="485" customWidth="1"/>
    <col min="7167" max="7167" width="11" style="485" customWidth="1"/>
    <col min="7168" max="7168" width="16.83203125" style="485" customWidth="1"/>
    <col min="7169" max="7169" width="17.1640625" style="485" customWidth="1"/>
    <col min="7170" max="7170" width="15.33203125" style="485" customWidth="1"/>
    <col min="7171" max="7171" width="15.5" style="485" customWidth="1"/>
    <col min="7172" max="7420" width="10.6640625" style="485"/>
    <col min="7421" max="7421" width="7" style="485" customWidth="1"/>
    <col min="7422" max="7422" width="34.5" style="485" customWidth="1"/>
    <col min="7423" max="7423" width="11" style="485" customWidth="1"/>
    <col min="7424" max="7424" width="16.83203125" style="485" customWidth="1"/>
    <col min="7425" max="7425" width="17.1640625" style="485" customWidth="1"/>
    <col min="7426" max="7426" width="15.33203125" style="485" customWidth="1"/>
    <col min="7427" max="7427" width="15.5" style="485" customWidth="1"/>
    <col min="7428" max="7676" width="10.6640625" style="485"/>
    <col min="7677" max="7677" width="7" style="485" customWidth="1"/>
    <col min="7678" max="7678" width="34.5" style="485" customWidth="1"/>
    <col min="7679" max="7679" width="11" style="485" customWidth="1"/>
    <col min="7680" max="7680" width="16.83203125" style="485" customWidth="1"/>
    <col min="7681" max="7681" width="17.1640625" style="485" customWidth="1"/>
    <col min="7682" max="7682" width="15.33203125" style="485" customWidth="1"/>
    <col min="7683" max="7683" width="15.5" style="485" customWidth="1"/>
    <col min="7684" max="7932" width="10.6640625" style="485"/>
    <col min="7933" max="7933" width="7" style="485" customWidth="1"/>
    <col min="7934" max="7934" width="34.5" style="485" customWidth="1"/>
    <col min="7935" max="7935" width="11" style="485" customWidth="1"/>
    <col min="7936" max="7936" width="16.83203125" style="485" customWidth="1"/>
    <col min="7937" max="7937" width="17.1640625" style="485" customWidth="1"/>
    <col min="7938" max="7938" width="15.33203125" style="485" customWidth="1"/>
    <col min="7939" max="7939" width="15.5" style="485" customWidth="1"/>
    <col min="7940" max="8188" width="10.6640625" style="485"/>
    <col min="8189" max="8189" width="7" style="485" customWidth="1"/>
    <col min="8190" max="8190" width="34.5" style="485" customWidth="1"/>
    <col min="8191" max="8191" width="11" style="485" customWidth="1"/>
    <col min="8192" max="8192" width="16.83203125" style="485" customWidth="1"/>
    <col min="8193" max="8193" width="17.1640625" style="485" customWidth="1"/>
    <col min="8194" max="8194" width="15.33203125" style="485" customWidth="1"/>
    <col min="8195" max="8195" width="15.5" style="485" customWidth="1"/>
    <col min="8196" max="8444" width="10.6640625" style="485"/>
    <col min="8445" max="8445" width="7" style="485" customWidth="1"/>
    <col min="8446" max="8446" width="34.5" style="485" customWidth="1"/>
    <col min="8447" max="8447" width="11" style="485" customWidth="1"/>
    <col min="8448" max="8448" width="16.83203125" style="485" customWidth="1"/>
    <col min="8449" max="8449" width="17.1640625" style="485" customWidth="1"/>
    <col min="8450" max="8450" width="15.33203125" style="485" customWidth="1"/>
    <col min="8451" max="8451" width="15.5" style="485" customWidth="1"/>
    <col min="8452" max="8700" width="10.6640625" style="485"/>
    <col min="8701" max="8701" width="7" style="485" customWidth="1"/>
    <col min="8702" max="8702" width="34.5" style="485" customWidth="1"/>
    <col min="8703" max="8703" width="11" style="485" customWidth="1"/>
    <col min="8704" max="8704" width="16.83203125" style="485" customWidth="1"/>
    <col min="8705" max="8705" width="17.1640625" style="485" customWidth="1"/>
    <col min="8706" max="8706" width="15.33203125" style="485" customWidth="1"/>
    <col min="8707" max="8707" width="15.5" style="485" customWidth="1"/>
    <col min="8708" max="8956" width="10.6640625" style="485"/>
    <col min="8957" max="8957" width="7" style="485" customWidth="1"/>
    <col min="8958" max="8958" width="34.5" style="485" customWidth="1"/>
    <col min="8959" max="8959" width="11" style="485" customWidth="1"/>
    <col min="8960" max="8960" width="16.83203125" style="485" customWidth="1"/>
    <col min="8961" max="8961" width="17.1640625" style="485" customWidth="1"/>
    <col min="8962" max="8962" width="15.33203125" style="485" customWidth="1"/>
    <col min="8963" max="8963" width="15.5" style="485" customWidth="1"/>
    <col min="8964" max="9212" width="10.6640625" style="485"/>
    <col min="9213" max="9213" width="7" style="485" customWidth="1"/>
    <col min="9214" max="9214" width="34.5" style="485" customWidth="1"/>
    <col min="9215" max="9215" width="11" style="485" customWidth="1"/>
    <col min="9216" max="9216" width="16.83203125" style="485" customWidth="1"/>
    <col min="9217" max="9217" width="17.1640625" style="485" customWidth="1"/>
    <col min="9218" max="9218" width="15.33203125" style="485" customWidth="1"/>
    <col min="9219" max="9219" width="15.5" style="485" customWidth="1"/>
    <col min="9220" max="9468" width="10.6640625" style="485"/>
    <col min="9469" max="9469" width="7" style="485" customWidth="1"/>
    <col min="9470" max="9470" width="34.5" style="485" customWidth="1"/>
    <col min="9471" max="9471" width="11" style="485" customWidth="1"/>
    <col min="9472" max="9472" width="16.83203125" style="485" customWidth="1"/>
    <col min="9473" max="9473" width="17.1640625" style="485" customWidth="1"/>
    <col min="9474" max="9474" width="15.33203125" style="485" customWidth="1"/>
    <col min="9475" max="9475" width="15.5" style="485" customWidth="1"/>
    <col min="9476" max="9724" width="10.6640625" style="485"/>
    <col min="9725" max="9725" width="7" style="485" customWidth="1"/>
    <col min="9726" max="9726" width="34.5" style="485" customWidth="1"/>
    <col min="9727" max="9727" width="11" style="485" customWidth="1"/>
    <col min="9728" max="9728" width="16.83203125" style="485" customWidth="1"/>
    <col min="9729" max="9729" width="17.1640625" style="485" customWidth="1"/>
    <col min="9730" max="9730" width="15.33203125" style="485" customWidth="1"/>
    <col min="9731" max="9731" width="15.5" style="485" customWidth="1"/>
    <col min="9732" max="9980" width="10.6640625" style="485"/>
    <col min="9981" max="9981" width="7" style="485" customWidth="1"/>
    <col min="9982" max="9982" width="34.5" style="485" customWidth="1"/>
    <col min="9983" max="9983" width="11" style="485" customWidth="1"/>
    <col min="9984" max="9984" width="16.83203125" style="485" customWidth="1"/>
    <col min="9985" max="9985" width="17.1640625" style="485" customWidth="1"/>
    <col min="9986" max="9986" width="15.33203125" style="485" customWidth="1"/>
    <col min="9987" max="9987" width="15.5" style="485" customWidth="1"/>
    <col min="9988" max="10236" width="10.6640625" style="485"/>
    <col min="10237" max="10237" width="7" style="485" customWidth="1"/>
    <col min="10238" max="10238" width="34.5" style="485" customWidth="1"/>
    <col min="10239" max="10239" width="11" style="485" customWidth="1"/>
    <col min="10240" max="10240" width="16.83203125" style="485" customWidth="1"/>
    <col min="10241" max="10241" width="17.1640625" style="485" customWidth="1"/>
    <col min="10242" max="10242" width="15.33203125" style="485" customWidth="1"/>
    <col min="10243" max="10243" width="15.5" style="485" customWidth="1"/>
    <col min="10244" max="10492" width="10.6640625" style="485"/>
    <col min="10493" max="10493" width="7" style="485" customWidth="1"/>
    <col min="10494" max="10494" width="34.5" style="485" customWidth="1"/>
    <col min="10495" max="10495" width="11" style="485" customWidth="1"/>
    <col min="10496" max="10496" width="16.83203125" style="485" customWidth="1"/>
    <col min="10497" max="10497" width="17.1640625" style="485" customWidth="1"/>
    <col min="10498" max="10498" width="15.33203125" style="485" customWidth="1"/>
    <col min="10499" max="10499" width="15.5" style="485" customWidth="1"/>
    <col min="10500" max="10748" width="10.6640625" style="485"/>
    <col min="10749" max="10749" width="7" style="485" customWidth="1"/>
    <col min="10750" max="10750" width="34.5" style="485" customWidth="1"/>
    <col min="10751" max="10751" width="11" style="485" customWidth="1"/>
    <col min="10752" max="10752" width="16.83203125" style="485" customWidth="1"/>
    <col min="10753" max="10753" width="17.1640625" style="485" customWidth="1"/>
    <col min="10754" max="10754" width="15.33203125" style="485" customWidth="1"/>
    <col min="10755" max="10755" width="15.5" style="485" customWidth="1"/>
    <col min="10756" max="11004" width="10.6640625" style="485"/>
    <col min="11005" max="11005" width="7" style="485" customWidth="1"/>
    <col min="11006" max="11006" width="34.5" style="485" customWidth="1"/>
    <col min="11007" max="11007" width="11" style="485" customWidth="1"/>
    <col min="11008" max="11008" width="16.83203125" style="485" customWidth="1"/>
    <col min="11009" max="11009" width="17.1640625" style="485" customWidth="1"/>
    <col min="11010" max="11010" width="15.33203125" style="485" customWidth="1"/>
    <col min="11011" max="11011" width="15.5" style="485" customWidth="1"/>
    <col min="11012" max="11260" width="10.6640625" style="485"/>
    <col min="11261" max="11261" width="7" style="485" customWidth="1"/>
    <col min="11262" max="11262" width="34.5" style="485" customWidth="1"/>
    <col min="11263" max="11263" width="11" style="485" customWidth="1"/>
    <col min="11264" max="11264" width="16.83203125" style="485" customWidth="1"/>
    <col min="11265" max="11265" width="17.1640625" style="485" customWidth="1"/>
    <col min="11266" max="11266" width="15.33203125" style="485" customWidth="1"/>
    <col min="11267" max="11267" width="15.5" style="485" customWidth="1"/>
    <col min="11268" max="11516" width="10.6640625" style="485"/>
    <col min="11517" max="11517" width="7" style="485" customWidth="1"/>
    <col min="11518" max="11518" width="34.5" style="485" customWidth="1"/>
    <col min="11519" max="11519" width="11" style="485" customWidth="1"/>
    <col min="11520" max="11520" width="16.83203125" style="485" customWidth="1"/>
    <col min="11521" max="11521" width="17.1640625" style="485" customWidth="1"/>
    <col min="11522" max="11522" width="15.33203125" style="485" customWidth="1"/>
    <col min="11523" max="11523" width="15.5" style="485" customWidth="1"/>
    <col min="11524" max="11772" width="10.6640625" style="485"/>
    <col min="11773" max="11773" width="7" style="485" customWidth="1"/>
    <col min="11774" max="11774" width="34.5" style="485" customWidth="1"/>
    <col min="11775" max="11775" width="11" style="485" customWidth="1"/>
    <col min="11776" max="11776" width="16.83203125" style="485" customWidth="1"/>
    <col min="11777" max="11777" width="17.1640625" style="485" customWidth="1"/>
    <col min="11778" max="11778" width="15.33203125" style="485" customWidth="1"/>
    <col min="11779" max="11779" width="15.5" style="485" customWidth="1"/>
    <col min="11780" max="12028" width="10.6640625" style="485"/>
    <col min="12029" max="12029" width="7" style="485" customWidth="1"/>
    <col min="12030" max="12030" width="34.5" style="485" customWidth="1"/>
    <col min="12031" max="12031" width="11" style="485" customWidth="1"/>
    <col min="12032" max="12032" width="16.83203125" style="485" customWidth="1"/>
    <col min="12033" max="12033" width="17.1640625" style="485" customWidth="1"/>
    <col min="12034" max="12034" width="15.33203125" style="485" customWidth="1"/>
    <col min="12035" max="12035" width="15.5" style="485" customWidth="1"/>
    <col min="12036" max="12284" width="10.6640625" style="485"/>
    <col min="12285" max="12285" width="7" style="485" customWidth="1"/>
    <col min="12286" max="12286" width="34.5" style="485" customWidth="1"/>
    <col min="12287" max="12287" width="11" style="485" customWidth="1"/>
    <col min="12288" max="12288" width="16.83203125" style="485" customWidth="1"/>
    <col min="12289" max="12289" width="17.1640625" style="485" customWidth="1"/>
    <col min="12290" max="12290" width="15.33203125" style="485" customWidth="1"/>
    <col min="12291" max="12291" width="15.5" style="485" customWidth="1"/>
    <col min="12292" max="12540" width="10.6640625" style="485"/>
    <col min="12541" max="12541" width="7" style="485" customWidth="1"/>
    <col min="12542" max="12542" width="34.5" style="485" customWidth="1"/>
    <col min="12543" max="12543" width="11" style="485" customWidth="1"/>
    <col min="12544" max="12544" width="16.83203125" style="485" customWidth="1"/>
    <col min="12545" max="12545" width="17.1640625" style="485" customWidth="1"/>
    <col min="12546" max="12546" width="15.33203125" style="485" customWidth="1"/>
    <col min="12547" max="12547" width="15.5" style="485" customWidth="1"/>
    <col min="12548" max="12796" width="10.6640625" style="485"/>
    <col min="12797" max="12797" width="7" style="485" customWidth="1"/>
    <col min="12798" max="12798" width="34.5" style="485" customWidth="1"/>
    <col min="12799" max="12799" width="11" style="485" customWidth="1"/>
    <col min="12800" max="12800" width="16.83203125" style="485" customWidth="1"/>
    <col min="12801" max="12801" width="17.1640625" style="485" customWidth="1"/>
    <col min="12802" max="12802" width="15.33203125" style="485" customWidth="1"/>
    <col min="12803" max="12803" width="15.5" style="485" customWidth="1"/>
    <col min="12804" max="13052" width="10.6640625" style="485"/>
    <col min="13053" max="13053" width="7" style="485" customWidth="1"/>
    <col min="13054" max="13054" width="34.5" style="485" customWidth="1"/>
    <col min="13055" max="13055" width="11" style="485" customWidth="1"/>
    <col min="13056" max="13056" width="16.83203125" style="485" customWidth="1"/>
    <col min="13057" max="13057" width="17.1640625" style="485" customWidth="1"/>
    <col min="13058" max="13058" width="15.33203125" style="485" customWidth="1"/>
    <col min="13059" max="13059" width="15.5" style="485" customWidth="1"/>
    <col min="13060" max="13308" width="10.6640625" style="485"/>
    <col min="13309" max="13309" width="7" style="485" customWidth="1"/>
    <col min="13310" max="13310" width="34.5" style="485" customWidth="1"/>
    <col min="13311" max="13311" width="11" style="485" customWidth="1"/>
    <col min="13312" max="13312" width="16.83203125" style="485" customWidth="1"/>
    <col min="13313" max="13313" width="17.1640625" style="485" customWidth="1"/>
    <col min="13314" max="13314" width="15.33203125" style="485" customWidth="1"/>
    <col min="13315" max="13315" width="15.5" style="485" customWidth="1"/>
    <col min="13316" max="13564" width="10.6640625" style="485"/>
    <col min="13565" max="13565" width="7" style="485" customWidth="1"/>
    <col min="13566" max="13566" width="34.5" style="485" customWidth="1"/>
    <col min="13567" max="13567" width="11" style="485" customWidth="1"/>
    <col min="13568" max="13568" width="16.83203125" style="485" customWidth="1"/>
    <col min="13569" max="13569" width="17.1640625" style="485" customWidth="1"/>
    <col min="13570" max="13570" width="15.33203125" style="485" customWidth="1"/>
    <col min="13571" max="13571" width="15.5" style="485" customWidth="1"/>
    <col min="13572" max="13820" width="10.6640625" style="485"/>
    <col min="13821" max="13821" width="7" style="485" customWidth="1"/>
    <col min="13822" max="13822" width="34.5" style="485" customWidth="1"/>
    <col min="13823" max="13823" width="11" style="485" customWidth="1"/>
    <col min="13824" max="13824" width="16.83203125" style="485" customWidth="1"/>
    <col min="13825" max="13825" width="17.1640625" style="485" customWidth="1"/>
    <col min="13826" max="13826" width="15.33203125" style="485" customWidth="1"/>
    <col min="13827" max="13827" width="15.5" style="485" customWidth="1"/>
    <col min="13828" max="14076" width="10.6640625" style="485"/>
    <col min="14077" max="14077" width="7" style="485" customWidth="1"/>
    <col min="14078" max="14078" width="34.5" style="485" customWidth="1"/>
    <col min="14079" max="14079" width="11" style="485" customWidth="1"/>
    <col min="14080" max="14080" width="16.83203125" style="485" customWidth="1"/>
    <col min="14081" max="14081" width="17.1640625" style="485" customWidth="1"/>
    <col min="14082" max="14082" width="15.33203125" style="485" customWidth="1"/>
    <col min="14083" max="14083" width="15.5" style="485" customWidth="1"/>
    <col min="14084" max="14332" width="10.6640625" style="485"/>
    <col min="14333" max="14333" width="7" style="485" customWidth="1"/>
    <col min="14334" max="14334" width="34.5" style="485" customWidth="1"/>
    <col min="14335" max="14335" width="11" style="485" customWidth="1"/>
    <col min="14336" max="14336" width="16.83203125" style="485" customWidth="1"/>
    <col min="14337" max="14337" width="17.1640625" style="485" customWidth="1"/>
    <col min="14338" max="14338" width="15.33203125" style="485" customWidth="1"/>
    <col min="14339" max="14339" width="15.5" style="485" customWidth="1"/>
    <col min="14340" max="14588" width="10.6640625" style="485"/>
    <col min="14589" max="14589" width="7" style="485" customWidth="1"/>
    <col min="14590" max="14590" width="34.5" style="485" customWidth="1"/>
    <col min="14591" max="14591" width="11" style="485" customWidth="1"/>
    <col min="14592" max="14592" width="16.83203125" style="485" customWidth="1"/>
    <col min="14593" max="14593" width="17.1640625" style="485" customWidth="1"/>
    <col min="14594" max="14594" width="15.33203125" style="485" customWidth="1"/>
    <col min="14595" max="14595" width="15.5" style="485" customWidth="1"/>
    <col min="14596" max="14844" width="10.6640625" style="485"/>
    <col min="14845" max="14845" width="7" style="485" customWidth="1"/>
    <col min="14846" max="14846" width="34.5" style="485" customWidth="1"/>
    <col min="14847" max="14847" width="11" style="485" customWidth="1"/>
    <col min="14848" max="14848" width="16.83203125" style="485" customWidth="1"/>
    <col min="14849" max="14849" width="17.1640625" style="485" customWidth="1"/>
    <col min="14850" max="14850" width="15.33203125" style="485" customWidth="1"/>
    <col min="14851" max="14851" width="15.5" style="485" customWidth="1"/>
    <col min="14852" max="15100" width="10.6640625" style="485"/>
    <col min="15101" max="15101" width="7" style="485" customWidth="1"/>
    <col min="15102" max="15102" width="34.5" style="485" customWidth="1"/>
    <col min="15103" max="15103" width="11" style="485" customWidth="1"/>
    <col min="15104" max="15104" width="16.83203125" style="485" customWidth="1"/>
    <col min="15105" max="15105" width="17.1640625" style="485" customWidth="1"/>
    <col min="15106" max="15106" width="15.33203125" style="485" customWidth="1"/>
    <col min="15107" max="15107" width="15.5" style="485" customWidth="1"/>
    <col min="15108" max="15356" width="10.6640625" style="485"/>
    <col min="15357" max="15357" width="7" style="485" customWidth="1"/>
    <col min="15358" max="15358" width="34.5" style="485" customWidth="1"/>
    <col min="15359" max="15359" width="11" style="485" customWidth="1"/>
    <col min="15360" max="15360" width="16.83203125" style="485" customWidth="1"/>
    <col min="15361" max="15361" width="17.1640625" style="485" customWidth="1"/>
    <col min="15362" max="15362" width="15.33203125" style="485" customWidth="1"/>
    <col min="15363" max="15363" width="15.5" style="485" customWidth="1"/>
    <col min="15364" max="15612" width="10.6640625" style="485"/>
    <col min="15613" max="15613" width="7" style="485" customWidth="1"/>
    <col min="15614" max="15614" width="34.5" style="485" customWidth="1"/>
    <col min="15615" max="15615" width="11" style="485" customWidth="1"/>
    <col min="15616" max="15616" width="16.83203125" style="485" customWidth="1"/>
    <col min="15617" max="15617" width="17.1640625" style="485" customWidth="1"/>
    <col min="15618" max="15618" width="15.33203125" style="485" customWidth="1"/>
    <col min="15619" max="15619" width="15.5" style="485" customWidth="1"/>
    <col min="15620" max="15868" width="10.6640625" style="485"/>
    <col min="15869" max="15869" width="7" style="485" customWidth="1"/>
    <col min="15870" max="15870" width="34.5" style="485" customWidth="1"/>
    <col min="15871" max="15871" width="11" style="485" customWidth="1"/>
    <col min="15872" max="15872" width="16.83203125" style="485" customWidth="1"/>
    <col min="15873" max="15873" width="17.1640625" style="485" customWidth="1"/>
    <col min="15874" max="15874" width="15.33203125" style="485" customWidth="1"/>
    <col min="15875" max="15875" width="15.5" style="485" customWidth="1"/>
    <col min="15876" max="16124" width="10.6640625" style="485"/>
    <col min="16125" max="16125" width="7" style="485" customWidth="1"/>
    <col min="16126" max="16126" width="34.5" style="485" customWidth="1"/>
    <col min="16127" max="16127" width="11" style="485" customWidth="1"/>
    <col min="16128" max="16128" width="16.83203125" style="485" customWidth="1"/>
    <col min="16129" max="16129" width="17.1640625" style="485" customWidth="1"/>
    <col min="16130" max="16130" width="15.33203125" style="485" customWidth="1"/>
    <col min="16131" max="16131" width="15.5" style="485" customWidth="1"/>
    <col min="16132" max="16384" width="10.6640625" style="485"/>
  </cols>
  <sheetData>
    <row r="1" spans="1:3" ht="40.5" customHeight="1" x14ac:dyDescent="0.2">
      <c r="A1" s="1140" t="s">
        <v>731</v>
      </c>
      <c r="B1" s="1141"/>
      <c r="C1" s="1141"/>
    </row>
    <row r="2" spans="1:3" x14ac:dyDescent="0.2">
      <c r="A2" s="486"/>
      <c r="B2" s="486"/>
      <c r="C2" s="501" t="s">
        <v>1</v>
      </c>
    </row>
    <row r="3" spans="1:3" s="487" customFormat="1" ht="33.75" customHeight="1" x14ac:dyDescent="0.2">
      <c r="A3" s="490" t="s">
        <v>496</v>
      </c>
      <c r="B3" s="491" t="s">
        <v>558</v>
      </c>
      <c r="C3" s="492" t="s">
        <v>500</v>
      </c>
    </row>
    <row r="4" spans="1:3" s="488" customFormat="1" ht="18.75" customHeight="1" x14ac:dyDescent="0.25">
      <c r="A4" s="493" t="s">
        <v>9</v>
      </c>
      <c r="B4" s="494" t="s">
        <v>548</v>
      </c>
      <c r="C4" s="495"/>
    </row>
    <row r="5" spans="1:3" s="488" customFormat="1" ht="18.75" customHeight="1" x14ac:dyDescent="0.25">
      <c r="A5" s="493" t="s">
        <v>12</v>
      </c>
      <c r="B5" s="494" t="s">
        <v>547</v>
      </c>
      <c r="C5" s="495">
        <v>200000</v>
      </c>
    </row>
    <row r="6" spans="1:3" s="488" customFormat="1" ht="18.75" customHeight="1" x14ac:dyDescent="0.25">
      <c r="A6" s="493" t="s">
        <v>15</v>
      </c>
      <c r="B6" s="494" t="s">
        <v>549</v>
      </c>
      <c r="C6" s="495"/>
    </row>
    <row r="7" spans="1:3" s="488" customFormat="1" ht="18.75" customHeight="1" x14ac:dyDescent="0.25">
      <c r="A7" s="493" t="s">
        <v>18</v>
      </c>
      <c r="B7" s="494" t="s">
        <v>550</v>
      </c>
      <c r="C7" s="495">
        <v>100000</v>
      </c>
    </row>
    <row r="8" spans="1:3" s="488" customFormat="1" ht="18.75" customHeight="1" x14ac:dyDescent="0.25">
      <c r="A8" s="493" t="s">
        <v>21</v>
      </c>
      <c r="B8" s="494" t="s">
        <v>633</v>
      </c>
      <c r="C8" s="495">
        <v>2500000</v>
      </c>
    </row>
    <row r="9" spans="1:3" s="488" customFormat="1" ht="18.75" customHeight="1" x14ac:dyDescent="0.25">
      <c r="A9" s="493" t="s">
        <v>24</v>
      </c>
      <c r="B9" s="496" t="s">
        <v>872</v>
      </c>
      <c r="C9" s="497">
        <v>100000</v>
      </c>
    </row>
    <row r="10" spans="1:3" s="488" customFormat="1" ht="18.75" customHeight="1" x14ac:dyDescent="0.25">
      <c r="A10" s="493" t="s">
        <v>27</v>
      </c>
      <c r="B10" s="496" t="s">
        <v>546</v>
      </c>
      <c r="C10" s="497">
        <v>200000</v>
      </c>
    </row>
    <row r="11" spans="1:3" s="484" customFormat="1" ht="18.75" customHeight="1" x14ac:dyDescent="0.2">
      <c r="A11" s="498"/>
      <c r="B11" s="499" t="s">
        <v>480</v>
      </c>
      <c r="C11" s="500">
        <f>SUM(C4:C10)</f>
        <v>3100000</v>
      </c>
    </row>
    <row r="12" spans="1:3" s="484" customFormat="1" x14ac:dyDescent="0.2">
      <c r="A12" s="489"/>
      <c r="B12" s="489"/>
      <c r="C12" s="483"/>
    </row>
  </sheetData>
  <sheetProtection algorithmName="SHA-512" hashValue="CXlVZu99n1bhdnswa8ywv3Lr4x3NFxMmx/odtMqsGW1uSm9B+LfGBuo4Ba7npw62E4X0y01fs3LY1GuqTZ4ArA==" saltValue="HRhHjckvy7AebQHaHfnHIA==" spinCount="100000" sheet="1" objects="1" scenarios="1" selectLockedCells="1" selectUnlockedCells="1"/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.../2018.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workbookViewId="0">
      <selection activeCell="E9" sqref="E9"/>
    </sheetView>
  </sheetViews>
  <sheetFormatPr defaultColWidth="10.6640625" defaultRowHeight="12.75" x14ac:dyDescent="0.2"/>
  <cols>
    <col min="1" max="1" width="11.33203125" style="485" customWidth="1"/>
    <col min="2" max="2" width="46" style="485" customWidth="1"/>
    <col min="3" max="3" width="28.5" style="485" customWidth="1"/>
    <col min="4" max="252" width="10.6640625" style="485"/>
    <col min="253" max="253" width="7" style="485" customWidth="1"/>
    <col min="254" max="254" width="34.5" style="485" customWidth="1"/>
    <col min="255" max="255" width="11" style="485" customWidth="1"/>
    <col min="256" max="256" width="16.83203125" style="485" customWidth="1"/>
    <col min="257" max="257" width="17.1640625" style="485" customWidth="1"/>
    <col min="258" max="258" width="15.33203125" style="485" customWidth="1"/>
    <col min="259" max="259" width="15.5" style="485" customWidth="1"/>
    <col min="260" max="508" width="10.6640625" style="485"/>
    <col min="509" max="509" width="7" style="485" customWidth="1"/>
    <col min="510" max="510" width="34.5" style="485" customWidth="1"/>
    <col min="511" max="511" width="11" style="485" customWidth="1"/>
    <col min="512" max="512" width="16.83203125" style="485" customWidth="1"/>
    <col min="513" max="513" width="17.1640625" style="485" customWidth="1"/>
    <col min="514" max="514" width="15.33203125" style="485" customWidth="1"/>
    <col min="515" max="515" width="15.5" style="485" customWidth="1"/>
    <col min="516" max="764" width="10.6640625" style="485"/>
    <col min="765" max="765" width="7" style="485" customWidth="1"/>
    <col min="766" max="766" width="34.5" style="485" customWidth="1"/>
    <col min="767" max="767" width="11" style="485" customWidth="1"/>
    <col min="768" max="768" width="16.83203125" style="485" customWidth="1"/>
    <col min="769" max="769" width="17.1640625" style="485" customWidth="1"/>
    <col min="770" max="770" width="15.33203125" style="485" customWidth="1"/>
    <col min="771" max="771" width="15.5" style="485" customWidth="1"/>
    <col min="772" max="1020" width="10.6640625" style="485"/>
    <col min="1021" max="1021" width="7" style="485" customWidth="1"/>
    <col min="1022" max="1022" width="34.5" style="485" customWidth="1"/>
    <col min="1023" max="1023" width="11" style="485" customWidth="1"/>
    <col min="1024" max="1024" width="16.83203125" style="485" customWidth="1"/>
    <col min="1025" max="1025" width="17.1640625" style="485" customWidth="1"/>
    <col min="1026" max="1026" width="15.33203125" style="485" customWidth="1"/>
    <col min="1027" max="1027" width="15.5" style="485" customWidth="1"/>
    <col min="1028" max="1276" width="10.6640625" style="485"/>
    <col min="1277" max="1277" width="7" style="485" customWidth="1"/>
    <col min="1278" max="1278" width="34.5" style="485" customWidth="1"/>
    <col min="1279" max="1279" width="11" style="485" customWidth="1"/>
    <col min="1280" max="1280" width="16.83203125" style="485" customWidth="1"/>
    <col min="1281" max="1281" width="17.1640625" style="485" customWidth="1"/>
    <col min="1282" max="1282" width="15.33203125" style="485" customWidth="1"/>
    <col min="1283" max="1283" width="15.5" style="485" customWidth="1"/>
    <col min="1284" max="1532" width="10.6640625" style="485"/>
    <col min="1533" max="1533" width="7" style="485" customWidth="1"/>
    <col min="1534" max="1534" width="34.5" style="485" customWidth="1"/>
    <col min="1535" max="1535" width="11" style="485" customWidth="1"/>
    <col min="1536" max="1536" width="16.83203125" style="485" customWidth="1"/>
    <col min="1537" max="1537" width="17.1640625" style="485" customWidth="1"/>
    <col min="1538" max="1538" width="15.33203125" style="485" customWidth="1"/>
    <col min="1539" max="1539" width="15.5" style="485" customWidth="1"/>
    <col min="1540" max="1788" width="10.6640625" style="485"/>
    <col min="1789" max="1789" width="7" style="485" customWidth="1"/>
    <col min="1790" max="1790" width="34.5" style="485" customWidth="1"/>
    <col min="1791" max="1791" width="11" style="485" customWidth="1"/>
    <col min="1792" max="1792" width="16.83203125" style="485" customWidth="1"/>
    <col min="1793" max="1793" width="17.1640625" style="485" customWidth="1"/>
    <col min="1794" max="1794" width="15.33203125" style="485" customWidth="1"/>
    <col min="1795" max="1795" width="15.5" style="485" customWidth="1"/>
    <col min="1796" max="2044" width="10.6640625" style="485"/>
    <col min="2045" max="2045" width="7" style="485" customWidth="1"/>
    <col min="2046" max="2046" width="34.5" style="485" customWidth="1"/>
    <col min="2047" max="2047" width="11" style="485" customWidth="1"/>
    <col min="2048" max="2048" width="16.83203125" style="485" customWidth="1"/>
    <col min="2049" max="2049" width="17.1640625" style="485" customWidth="1"/>
    <col min="2050" max="2050" width="15.33203125" style="485" customWidth="1"/>
    <col min="2051" max="2051" width="15.5" style="485" customWidth="1"/>
    <col min="2052" max="2300" width="10.6640625" style="485"/>
    <col min="2301" max="2301" width="7" style="485" customWidth="1"/>
    <col min="2302" max="2302" width="34.5" style="485" customWidth="1"/>
    <col min="2303" max="2303" width="11" style="485" customWidth="1"/>
    <col min="2304" max="2304" width="16.83203125" style="485" customWidth="1"/>
    <col min="2305" max="2305" width="17.1640625" style="485" customWidth="1"/>
    <col min="2306" max="2306" width="15.33203125" style="485" customWidth="1"/>
    <col min="2307" max="2307" width="15.5" style="485" customWidth="1"/>
    <col min="2308" max="2556" width="10.6640625" style="485"/>
    <col min="2557" max="2557" width="7" style="485" customWidth="1"/>
    <col min="2558" max="2558" width="34.5" style="485" customWidth="1"/>
    <col min="2559" max="2559" width="11" style="485" customWidth="1"/>
    <col min="2560" max="2560" width="16.83203125" style="485" customWidth="1"/>
    <col min="2561" max="2561" width="17.1640625" style="485" customWidth="1"/>
    <col min="2562" max="2562" width="15.33203125" style="485" customWidth="1"/>
    <col min="2563" max="2563" width="15.5" style="485" customWidth="1"/>
    <col min="2564" max="2812" width="10.6640625" style="485"/>
    <col min="2813" max="2813" width="7" style="485" customWidth="1"/>
    <col min="2814" max="2814" width="34.5" style="485" customWidth="1"/>
    <col min="2815" max="2815" width="11" style="485" customWidth="1"/>
    <col min="2816" max="2816" width="16.83203125" style="485" customWidth="1"/>
    <col min="2817" max="2817" width="17.1640625" style="485" customWidth="1"/>
    <col min="2818" max="2818" width="15.33203125" style="485" customWidth="1"/>
    <col min="2819" max="2819" width="15.5" style="485" customWidth="1"/>
    <col min="2820" max="3068" width="10.6640625" style="485"/>
    <col min="3069" max="3069" width="7" style="485" customWidth="1"/>
    <col min="3070" max="3070" width="34.5" style="485" customWidth="1"/>
    <col min="3071" max="3071" width="11" style="485" customWidth="1"/>
    <col min="3072" max="3072" width="16.83203125" style="485" customWidth="1"/>
    <col min="3073" max="3073" width="17.1640625" style="485" customWidth="1"/>
    <col min="3074" max="3074" width="15.33203125" style="485" customWidth="1"/>
    <col min="3075" max="3075" width="15.5" style="485" customWidth="1"/>
    <col min="3076" max="3324" width="10.6640625" style="485"/>
    <col min="3325" max="3325" width="7" style="485" customWidth="1"/>
    <col min="3326" max="3326" width="34.5" style="485" customWidth="1"/>
    <col min="3327" max="3327" width="11" style="485" customWidth="1"/>
    <col min="3328" max="3328" width="16.83203125" style="485" customWidth="1"/>
    <col min="3329" max="3329" width="17.1640625" style="485" customWidth="1"/>
    <col min="3330" max="3330" width="15.33203125" style="485" customWidth="1"/>
    <col min="3331" max="3331" width="15.5" style="485" customWidth="1"/>
    <col min="3332" max="3580" width="10.6640625" style="485"/>
    <col min="3581" max="3581" width="7" style="485" customWidth="1"/>
    <col min="3582" max="3582" width="34.5" style="485" customWidth="1"/>
    <col min="3583" max="3583" width="11" style="485" customWidth="1"/>
    <col min="3584" max="3584" width="16.83203125" style="485" customWidth="1"/>
    <col min="3585" max="3585" width="17.1640625" style="485" customWidth="1"/>
    <col min="3586" max="3586" width="15.33203125" style="485" customWidth="1"/>
    <col min="3587" max="3587" width="15.5" style="485" customWidth="1"/>
    <col min="3588" max="3836" width="10.6640625" style="485"/>
    <col min="3837" max="3837" width="7" style="485" customWidth="1"/>
    <col min="3838" max="3838" width="34.5" style="485" customWidth="1"/>
    <col min="3839" max="3839" width="11" style="485" customWidth="1"/>
    <col min="3840" max="3840" width="16.83203125" style="485" customWidth="1"/>
    <col min="3841" max="3841" width="17.1640625" style="485" customWidth="1"/>
    <col min="3842" max="3842" width="15.33203125" style="485" customWidth="1"/>
    <col min="3843" max="3843" width="15.5" style="485" customWidth="1"/>
    <col min="3844" max="4092" width="10.6640625" style="485"/>
    <col min="4093" max="4093" width="7" style="485" customWidth="1"/>
    <col min="4094" max="4094" width="34.5" style="485" customWidth="1"/>
    <col min="4095" max="4095" width="11" style="485" customWidth="1"/>
    <col min="4096" max="4096" width="16.83203125" style="485" customWidth="1"/>
    <col min="4097" max="4097" width="17.1640625" style="485" customWidth="1"/>
    <col min="4098" max="4098" width="15.33203125" style="485" customWidth="1"/>
    <col min="4099" max="4099" width="15.5" style="485" customWidth="1"/>
    <col min="4100" max="4348" width="10.6640625" style="485"/>
    <col min="4349" max="4349" width="7" style="485" customWidth="1"/>
    <col min="4350" max="4350" width="34.5" style="485" customWidth="1"/>
    <col min="4351" max="4351" width="11" style="485" customWidth="1"/>
    <col min="4352" max="4352" width="16.83203125" style="485" customWidth="1"/>
    <col min="4353" max="4353" width="17.1640625" style="485" customWidth="1"/>
    <col min="4354" max="4354" width="15.33203125" style="485" customWidth="1"/>
    <col min="4355" max="4355" width="15.5" style="485" customWidth="1"/>
    <col min="4356" max="4604" width="10.6640625" style="485"/>
    <col min="4605" max="4605" width="7" style="485" customWidth="1"/>
    <col min="4606" max="4606" width="34.5" style="485" customWidth="1"/>
    <col min="4607" max="4607" width="11" style="485" customWidth="1"/>
    <col min="4608" max="4608" width="16.83203125" style="485" customWidth="1"/>
    <col min="4609" max="4609" width="17.1640625" style="485" customWidth="1"/>
    <col min="4610" max="4610" width="15.33203125" style="485" customWidth="1"/>
    <col min="4611" max="4611" width="15.5" style="485" customWidth="1"/>
    <col min="4612" max="4860" width="10.6640625" style="485"/>
    <col min="4861" max="4861" width="7" style="485" customWidth="1"/>
    <col min="4862" max="4862" width="34.5" style="485" customWidth="1"/>
    <col min="4863" max="4863" width="11" style="485" customWidth="1"/>
    <col min="4864" max="4864" width="16.83203125" style="485" customWidth="1"/>
    <col min="4865" max="4865" width="17.1640625" style="485" customWidth="1"/>
    <col min="4866" max="4866" width="15.33203125" style="485" customWidth="1"/>
    <col min="4867" max="4867" width="15.5" style="485" customWidth="1"/>
    <col min="4868" max="5116" width="10.6640625" style="485"/>
    <col min="5117" max="5117" width="7" style="485" customWidth="1"/>
    <col min="5118" max="5118" width="34.5" style="485" customWidth="1"/>
    <col min="5119" max="5119" width="11" style="485" customWidth="1"/>
    <col min="5120" max="5120" width="16.83203125" style="485" customWidth="1"/>
    <col min="5121" max="5121" width="17.1640625" style="485" customWidth="1"/>
    <col min="5122" max="5122" width="15.33203125" style="485" customWidth="1"/>
    <col min="5123" max="5123" width="15.5" style="485" customWidth="1"/>
    <col min="5124" max="5372" width="10.6640625" style="485"/>
    <col min="5373" max="5373" width="7" style="485" customWidth="1"/>
    <col min="5374" max="5374" width="34.5" style="485" customWidth="1"/>
    <col min="5375" max="5375" width="11" style="485" customWidth="1"/>
    <col min="5376" max="5376" width="16.83203125" style="485" customWidth="1"/>
    <col min="5377" max="5377" width="17.1640625" style="485" customWidth="1"/>
    <col min="5378" max="5378" width="15.33203125" style="485" customWidth="1"/>
    <col min="5379" max="5379" width="15.5" style="485" customWidth="1"/>
    <col min="5380" max="5628" width="10.6640625" style="485"/>
    <col min="5629" max="5629" width="7" style="485" customWidth="1"/>
    <col min="5630" max="5630" width="34.5" style="485" customWidth="1"/>
    <col min="5631" max="5631" width="11" style="485" customWidth="1"/>
    <col min="5632" max="5632" width="16.83203125" style="485" customWidth="1"/>
    <col min="5633" max="5633" width="17.1640625" style="485" customWidth="1"/>
    <col min="5634" max="5634" width="15.33203125" style="485" customWidth="1"/>
    <col min="5635" max="5635" width="15.5" style="485" customWidth="1"/>
    <col min="5636" max="5884" width="10.6640625" style="485"/>
    <col min="5885" max="5885" width="7" style="485" customWidth="1"/>
    <col min="5886" max="5886" width="34.5" style="485" customWidth="1"/>
    <col min="5887" max="5887" width="11" style="485" customWidth="1"/>
    <col min="5888" max="5888" width="16.83203125" style="485" customWidth="1"/>
    <col min="5889" max="5889" width="17.1640625" style="485" customWidth="1"/>
    <col min="5890" max="5890" width="15.33203125" style="485" customWidth="1"/>
    <col min="5891" max="5891" width="15.5" style="485" customWidth="1"/>
    <col min="5892" max="6140" width="10.6640625" style="485"/>
    <col min="6141" max="6141" width="7" style="485" customWidth="1"/>
    <col min="6142" max="6142" width="34.5" style="485" customWidth="1"/>
    <col min="6143" max="6143" width="11" style="485" customWidth="1"/>
    <col min="6144" max="6144" width="16.83203125" style="485" customWidth="1"/>
    <col min="6145" max="6145" width="17.1640625" style="485" customWidth="1"/>
    <col min="6146" max="6146" width="15.33203125" style="485" customWidth="1"/>
    <col min="6147" max="6147" width="15.5" style="485" customWidth="1"/>
    <col min="6148" max="6396" width="10.6640625" style="485"/>
    <col min="6397" max="6397" width="7" style="485" customWidth="1"/>
    <col min="6398" max="6398" width="34.5" style="485" customWidth="1"/>
    <col min="6399" max="6399" width="11" style="485" customWidth="1"/>
    <col min="6400" max="6400" width="16.83203125" style="485" customWidth="1"/>
    <col min="6401" max="6401" width="17.1640625" style="485" customWidth="1"/>
    <col min="6402" max="6402" width="15.33203125" style="485" customWidth="1"/>
    <col min="6403" max="6403" width="15.5" style="485" customWidth="1"/>
    <col min="6404" max="6652" width="10.6640625" style="485"/>
    <col min="6653" max="6653" width="7" style="485" customWidth="1"/>
    <col min="6654" max="6654" width="34.5" style="485" customWidth="1"/>
    <col min="6655" max="6655" width="11" style="485" customWidth="1"/>
    <col min="6656" max="6656" width="16.83203125" style="485" customWidth="1"/>
    <col min="6657" max="6657" width="17.1640625" style="485" customWidth="1"/>
    <col min="6658" max="6658" width="15.33203125" style="485" customWidth="1"/>
    <col min="6659" max="6659" width="15.5" style="485" customWidth="1"/>
    <col min="6660" max="6908" width="10.6640625" style="485"/>
    <col min="6909" max="6909" width="7" style="485" customWidth="1"/>
    <col min="6910" max="6910" width="34.5" style="485" customWidth="1"/>
    <col min="6911" max="6911" width="11" style="485" customWidth="1"/>
    <col min="6912" max="6912" width="16.83203125" style="485" customWidth="1"/>
    <col min="6913" max="6913" width="17.1640625" style="485" customWidth="1"/>
    <col min="6914" max="6914" width="15.33203125" style="485" customWidth="1"/>
    <col min="6915" max="6915" width="15.5" style="485" customWidth="1"/>
    <col min="6916" max="7164" width="10.6640625" style="485"/>
    <col min="7165" max="7165" width="7" style="485" customWidth="1"/>
    <col min="7166" max="7166" width="34.5" style="485" customWidth="1"/>
    <col min="7167" max="7167" width="11" style="485" customWidth="1"/>
    <col min="7168" max="7168" width="16.83203125" style="485" customWidth="1"/>
    <col min="7169" max="7169" width="17.1640625" style="485" customWidth="1"/>
    <col min="7170" max="7170" width="15.33203125" style="485" customWidth="1"/>
    <col min="7171" max="7171" width="15.5" style="485" customWidth="1"/>
    <col min="7172" max="7420" width="10.6640625" style="485"/>
    <col min="7421" max="7421" width="7" style="485" customWidth="1"/>
    <col min="7422" max="7422" width="34.5" style="485" customWidth="1"/>
    <col min="7423" max="7423" width="11" style="485" customWidth="1"/>
    <col min="7424" max="7424" width="16.83203125" style="485" customWidth="1"/>
    <col min="7425" max="7425" width="17.1640625" style="485" customWidth="1"/>
    <col min="7426" max="7426" width="15.33203125" style="485" customWidth="1"/>
    <col min="7427" max="7427" width="15.5" style="485" customWidth="1"/>
    <col min="7428" max="7676" width="10.6640625" style="485"/>
    <col min="7677" max="7677" width="7" style="485" customWidth="1"/>
    <col min="7678" max="7678" width="34.5" style="485" customWidth="1"/>
    <col min="7679" max="7679" width="11" style="485" customWidth="1"/>
    <col min="7680" max="7680" width="16.83203125" style="485" customWidth="1"/>
    <col min="7681" max="7681" width="17.1640625" style="485" customWidth="1"/>
    <col min="7682" max="7682" width="15.33203125" style="485" customWidth="1"/>
    <col min="7683" max="7683" width="15.5" style="485" customWidth="1"/>
    <col min="7684" max="7932" width="10.6640625" style="485"/>
    <col min="7933" max="7933" width="7" style="485" customWidth="1"/>
    <col min="7934" max="7934" width="34.5" style="485" customWidth="1"/>
    <col min="7935" max="7935" width="11" style="485" customWidth="1"/>
    <col min="7936" max="7936" width="16.83203125" style="485" customWidth="1"/>
    <col min="7937" max="7937" width="17.1640625" style="485" customWidth="1"/>
    <col min="7938" max="7938" width="15.33203125" style="485" customWidth="1"/>
    <col min="7939" max="7939" width="15.5" style="485" customWidth="1"/>
    <col min="7940" max="8188" width="10.6640625" style="485"/>
    <col min="8189" max="8189" width="7" style="485" customWidth="1"/>
    <col min="8190" max="8190" width="34.5" style="485" customWidth="1"/>
    <col min="8191" max="8191" width="11" style="485" customWidth="1"/>
    <col min="8192" max="8192" width="16.83203125" style="485" customWidth="1"/>
    <col min="8193" max="8193" width="17.1640625" style="485" customWidth="1"/>
    <col min="8194" max="8194" width="15.33203125" style="485" customWidth="1"/>
    <col min="8195" max="8195" width="15.5" style="485" customWidth="1"/>
    <col min="8196" max="8444" width="10.6640625" style="485"/>
    <col min="8445" max="8445" width="7" style="485" customWidth="1"/>
    <col min="8446" max="8446" width="34.5" style="485" customWidth="1"/>
    <col min="8447" max="8447" width="11" style="485" customWidth="1"/>
    <col min="8448" max="8448" width="16.83203125" style="485" customWidth="1"/>
    <col min="8449" max="8449" width="17.1640625" style="485" customWidth="1"/>
    <col min="8450" max="8450" width="15.33203125" style="485" customWidth="1"/>
    <col min="8451" max="8451" width="15.5" style="485" customWidth="1"/>
    <col min="8452" max="8700" width="10.6640625" style="485"/>
    <col min="8701" max="8701" width="7" style="485" customWidth="1"/>
    <col min="8702" max="8702" width="34.5" style="485" customWidth="1"/>
    <col min="8703" max="8703" width="11" style="485" customWidth="1"/>
    <col min="8704" max="8704" width="16.83203125" style="485" customWidth="1"/>
    <col min="8705" max="8705" width="17.1640625" style="485" customWidth="1"/>
    <col min="8706" max="8706" width="15.33203125" style="485" customWidth="1"/>
    <col min="8707" max="8707" width="15.5" style="485" customWidth="1"/>
    <col min="8708" max="8956" width="10.6640625" style="485"/>
    <col min="8957" max="8957" width="7" style="485" customWidth="1"/>
    <col min="8958" max="8958" width="34.5" style="485" customWidth="1"/>
    <col min="8959" max="8959" width="11" style="485" customWidth="1"/>
    <col min="8960" max="8960" width="16.83203125" style="485" customWidth="1"/>
    <col min="8961" max="8961" width="17.1640625" style="485" customWidth="1"/>
    <col min="8962" max="8962" width="15.33203125" style="485" customWidth="1"/>
    <col min="8963" max="8963" width="15.5" style="485" customWidth="1"/>
    <col min="8964" max="9212" width="10.6640625" style="485"/>
    <col min="9213" max="9213" width="7" style="485" customWidth="1"/>
    <col min="9214" max="9214" width="34.5" style="485" customWidth="1"/>
    <col min="9215" max="9215" width="11" style="485" customWidth="1"/>
    <col min="9216" max="9216" width="16.83203125" style="485" customWidth="1"/>
    <col min="9217" max="9217" width="17.1640625" style="485" customWidth="1"/>
    <col min="9218" max="9218" width="15.33203125" style="485" customWidth="1"/>
    <col min="9219" max="9219" width="15.5" style="485" customWidth="1"/>
    <col min="9220" max="9468" width="10.6640625" style="485"/>
    <col min="9469" max="9469" width="7" style="485" customWidth="1"/>
    <col min="9470" max="9470" width="34.5" style="485" customWidth="1"/>
    <col min="9471" max="9471" width="11" style="485" customWidth="1"/>
    <col min="9472" max="9472" width="16.83203125" style="485" customWidth="1"/>
    <col min="9473" max="9473" width="17.1640625" style="485" customWidth="1"/>
    <col min="9474" max="9474" width="15.33203125" style="485" customWidth="1"/>
    <col min="9475" max="9475" width="15.5" style="485" customWidth="1"/>
    <col min="9476" max="9724" width="10.6640625" style="485"/>
    <col min="9725" max="9725" width="7" style="485" customWidth="1"/>
    <col min="9726" max="9726" width="34.5" style="485" customWidth="1"/>
    <col min="9727" max="9727" width="11" style="485" customWidth="1"/>
    <col min="9728" max="9728" width="16.83203125" style="485" customWidth="1"/>
    <col min="9729" max="9729" width="17.1640625" style="485" customWidth="1"/>
    <col min="9730" max="9730" width="15.33203125" style="485" customWidth="1"/>
    <col min="9731" max="9731" width="15.5" style="485" customWidth="1"/>
    <col min="9732" max="9980" width="10.6640625" style="485"/>
    <col min="9981" max="9981" width="7" style="485" customWidth="1"/>
    <col min="9982" max="9982" width="34.5" style="485" customWidth="1"/>
    <col min="9983" max="9983" width="11" style="485" customWidth="1"/>
    <col min="9984" max="9984" width="16.83203125" style="485" customWidth="1"/>
    <col min="9985" max="9985" width="17.1640625" style="485" customWidth="1"/>
    <col min="9986" max="9986" width="15.33203125" style="485" customWidth="1"/>
    <col min="9987" max="9987" width="15.5" style="485" customWidth="1"/>
    <col min="9988" max="10236" width="10.6640625" style="485"/>
    <col min="10237" max="10237" width="7" style="485" customWidth="1"/>
    <col min="10238" max="10238" width="34.5" style="485" customWidth="1"/>
    <col min="10239" max="10239" width="11" style="485" customWidth="1"/>
    <col min="10240" max="10240" width="16.83203125" style="485" customWidth="1"/>
    <col min="10241" max="10241" width="17.1640625" style="485" customWidth="1"/>
    <col min="10242" max="10242" width="15.33203125" style="485" customWidth="1"/>
    <col min="10243" max="10243" width="15.5" style="485" customWidth="1"/>
    <col min="10244" max="10492" width="10.6640625" style="485"/>
    <col min="10493" max="10493" width="7" style="485" customWidth="1"/>
    <col min="10494" max="10494" width="34.5" style="485" customWidth="1"/>
    <col min="10495" max="10495" width="11" style="485" customWidth="1"/>
    <col min="10496" max="10496" width="16.83203125" style="485" customWidth="1"/>
    <col min="10497" max="10497" width="17.1640625" style="485" customWidth="1"/>
    <col min="10498" max="10498" width="15.33203125" style="485" customWidth="1"/>
    <col min="10499" max="10499" width="15.5" style="485" customWidth="1"/>
    <col min="10500" max="10748" width="10.6640625" style="485"/>
    <col min="10749" max="10749" width="7" style="485" customWidth="1"/>
    <col min="10750" max="10750" width="34.5" style="485" customWidth="1"/>
    <col min="10751" max="10751" width="11" style="485" customWidth="1"/>
    <col min="10752" max="10752" width="16.83203125" style="485" customWidth="1"/>
    <col min="10753" max="10753" width="17.1640625" style="485" customWidth="1"/>
    <col min="10754" max="10754" width="15.33203125" style="485" customWidth="1"/>
    <col min="10755" max="10755" width="15.5" style="485" customWidth="1"/>
    <col min="10756" max="11004" width="10.6640625" style="485"/>
    <col min="11005" max="11005" width="7" style="485" customWidth="1"/>
    <col min="11006" max="11006" width="34.5" style="485" customWidth="1"/>
    <col min="11007" max="11007" width="11" style="485" customWidth="1"/>
    <col min="11008" max="11008" width="16.83203125" style="485" customWidth="1"/>
    <col min="11009" max="11009" width="17.1640625" style="485" customWidth="1"/>
    <col min="11010" max="11010" width="15.33203125" style="485" customWidth="1"/>
    <col min="11011" max="11011" width="15.5" style="485" customWidth="1"/>
    <col min="11012" max="11260" width="10.6640625" style="485"/>
    <col min="11261" max="11261" width="7" style="485" customWidth="1"/>
    <col min="11262" max="11262" width="34.5" style="485" customWidth="1"/>
    <col min="11263" max="11263" width="11" style="485" customWidth="1"/>
    <col min="11264" max="11264" width="16.83203125" style="485" customWidth="1"/>
    <col min="11265" max="11265" width="17.1640625" style="485" customWidth="1"/>
    <col min="11266" max="11266" width="15.33203125" style="485" customWidth="1"/>
    <col min="11267" max="11267" width="15.5" style="485" customWidth="1"/>
    <col min="11268" max="11516" width="10.6640625" style="485"/>
    <col min="11517" max="11517" width="7" style="485" customWidth="1"/>
    <col min="11518" max="11518" width="34.5" style="485" customWidth="1"/>
    <col min="11519" max="11519" width="11" style="485" customWidth="1"/>
    <col min="11520" max="11520" width="16.83203125" style="485" customWidth="1"/>
    <col min="11521" max="11521" width="17.1640625" style="485" customWidth="1"/>
    <col min="11522" max="11522" width="15.33203125" style="485" customWidth="1"/>
    <col min="11523" max="11523" width="15.5" style="485" customWidth="1"/>
    <col min="11524" max="11772" width="10.6640625" style="485"/>
    <col min="11773" max="11773" width="7" style="485" customWidth="1"/>
    <col min="11774" max="11774" width="34.5" style="485" customWidth="1"/>
    <col min="11775" max="11775" width="11" style="485" customWidth="1"/>
    <col min="11776" max="11776" width="16.83203125" style="485" customWidth="1"/>
    <col min="11777" max="11777" width="17.1640625" style="485" customWidth="1"/>
    <col min="11778" max="11778" width="15.33203125" style="485" customWidth="1"/>
    <col min="11779" max="11779" width="15.5" style="485" customWidth="1"/>
    <col min="11780" max="12028" width="10.6640625" style="485"/>
    <col min="12029" max="12029" width="7" style="485" customWidth="1"/>
    <col min="12030" max="12030" width="34.5" style="485" customWidth="1"/>
    <col min="12031" max="12031" width="11" style="485" customWidth="1"/>
    <col min="12032" max="12032" width="16.83203125" style="485" customWidth="1"/>
    <col min="12033" max="12033" width="17.1640625" style="485" customWidth="1"/>
    <col min="12034" max="12034" width="15.33203125" style="485" customWidth="1"/>
    <col min="12035" max="12035" width="15.5" style="485" customWidth="1"/>
    <col min="12036" max="12284" width="10.6640625" style="485"/>
    <col min="12285" max="12285" width="7" style="485" customWidth="1"/>
    <col min="12286" max="12286" width="34.5" style="485" customWidth="1"/>
    <col min="12287" max="12287" width="11" style="485" customWidth="1"/>
    <col min="12288" max="12288" width="16.83203125" style="485" customWidth="1"/>
    <col min="12289" max="12289" width="17.1640625" style="485" customWidth="1"/>
    <col min="12290" max="12290" width="15.33203125" style="485" customWidth="1"/>
    <col min="12291" max="12291" width="15.5" style="485" customWidth="1"/>
    <col min="12292" max="12540" width="10.6640625" style="485"/>
    <col min="12541" max="12541" width="7" style="485" customWidth="1"/>
    <col min="12542" max="12542" width="34.5" style="485" customWidth="1"/>
    <col min="12543" max="12543" width="11" style="485" customWidth="1"/>
    <col min="12544" max="12544" width="16.83203125" style="485" customWidth="1"/>
    <col min="12545" max="12545" width="17.1640625" style="485" customWidth="1"/>
    <col min="12546" max="12546" width="15.33203125" style="485" customWidth="1"/>
    <col min="12547" max="12547" width="15.5" style="485" customWidth="1"/>
    <col min="12548" max="12796" width="10.6640625" style="485"/>
    <col min="12797" max="12797" width="7" style="485" customWidth="1"/>
    <col min="12798" max="12798" width="34.5" style="485" customWidth="1"/>
    <col min="12799" max="12799" width="11" style="485" customWidth="1"/>
    <col min="12800" max="12800" width="16.83203125" style="485" customWidth="1"/>
    <col min="12801" max="12801" width="17.1640625" style="485" customWidth="1"/>
    <col min="12802" max="12802" width="15.33203125" style="485" customWidth="1"/>
    <col min="12803" max="12803" width="15.5" style="485" customWidth="1"/>
    <col min="12804" max="13052" width="10.6640625" style="485"/>
    <col min="13053" max="13053" width="7" style="485" customWidth="1"/>
    <col min="13054" max="13054" width="34.5" style="485" customWidth="1"/>
    <col min="13055" max="13055" width="11" style="485" customWidth="1"/>
    <col min="13056" max="13056" width="16.83203125" style="485" customWidth="1"/>
    <col min="13057" max="13057" width="17.1640625" style="485" customWidth="1"/>
    <col min="13058" max="13058" width="15.33203125" style="485" customWidth="1"/>
    <col min="13059" max="13059" width="15.5" style="485" customWidth="1"/>
    <col min="13060" max="13308" width="10.6640625" style="485"/>
    <col min="13309" max="13309" width="7" style="485" customWidth="1"/>
    <col min="13310" max="13310" width="34.5" style="485" customWidth="1"/>
    <col min="13311" max="13311" width="11" style="485" customWidth="1"/>
    <col min="13312" max="13312" width="16.83203125" style="485" customWidth="1"/>
    <col min="13313" max="13313" width="17.1640625" style="485" customWidth="1"/>
    <col min="13314" max="13314" width="15.33203125" style="485" customWidth="1"/>
    <col min="13315" max="13315" width="15.5" style="485" customWidth="1"/>
    <col min="13316" max="13564" width="10.6640625" style="485"/>
    <col min="13565" max="13565" width="7" style="485" customWidth="1"/>
    <col min="13566" max="13566" width="34.5" style="485" customWidth="1"/>
    <col min="13567" max="13567" width="11" style="485" customWidth="1"/>
    <col min="13568" max="13568" width="16.83203125" style="485" customWidth="1"/>
    <col min="13569" max="13569" width="17.1640625" style="485" customWidth="1"/>
    <col min="13570" max="13570" width="15.33203125" style="485" customWidth="1"/>
    <col min="13571" max="13571" width="15.5" style="485" customWidth="1"/>
    <col min="13572" max="13820" width="10.6640625" style="485"/>
    <col min="13821" max="13821" width="7" style="485" customWidth="1"/>
    <col min="13822" max="13822" width="34.5" style="485" customWidth="1"/>
    <col min="13823" max="13823" width="11" style="485" customWidth="1"/>
    <col min="13824" max="13824" width="16.83203125" style="485" customWidth="1"/>
    <col min="13825" max="13825" width="17.1640625" style="485" customWidth="1"/>
    <col min="13826" max="13826" width="15.33203125" style="485" customWidth="1"/>
    <col min="13827" max="13827" width="15.5" style="485" customWidth="1"/>
    <col min="13828" max="14076" width="10.6640625" style="485"/>
    <col min="14077" max="14077" width="7" style="485" customWidth="1"/>
    <col min="14078" max="14078" width="34.5" style="485" customWidth="1"/>
    <col min="14079" max="14079" width="11" style="485" customWidth="1"/>
    <col min="14080" max="14080" width="16.83203125" style="485" customWidth="1"/>
    <col min="14081" max="14081" width="17.1640625" style="485" customWidth="1"/>
    <col min="14082" max="14082" width="15.33203125" style="485" customWidth="1"/>
    <col min="14083" max="14083" width="15.5" style="485" customWidth="1"/>
    <col min="14084" max="14332" width="10.6640625" style="485"/>
    <col min="14333" max="14333" width="7" style="485" customWidth="1"/>
    <col min="14334" max="14334" width="34.5" style="485" customWidth="1"/>
    <col min="14335" max="14335" width="11" style="485" customWidth="1"/>
    <col min="14336" max="14336" width="16.83203125" style="485" customWidth="1"/>
    <col min="14337" max="14337" width="17.1640625" style="485" customWidth="1"/>
    <col min="14338" max="14338" width="15.33203125" style="485" customWidth="1"/>
    <col min="14339" max="14339" width="15.5" style="485" customWidth="1"/>
    <col min="14340" max="14588" width="10.6640625" style="485"/>
    <col min="14589" max="14589" width="7" style="485" customWidth="1"/>
    <col min="14590" max="14590" width="34.5" style="485" customWidth="1"/>
    <col min="14591" max="14591" width="11" style="485" customWidth="1"/>
    <col min="14592" max="14592" width="16.83203125" style="485" customWidth="1"/>
    <col min="14593" max="14593" width="17.1640625" style="485" customWidth="1"/>
    <col min="14594" max="14594" width="15.33203125" style="485" customWidth="1"/>
    <col min="14595" max="14595" width="15.5" style="485" customWidth="1"/>
    <col min="14596" max="14844" width="10.6640625" style="485"/>
    <col min="14845" max="14845" width="7" style="485" customWidth="1"/>
    <col min="14846" max="14846" width="34.5" style="485" customWidth="1"/>
    <col min="14847" max="14847" width="11" style="485" customWidth="1"/>
    <col min="14848" max="14848" width="16.83203125" style="485" customWidth="1"/>
    <col min="14849" max="14849" width="17.1640625" style="485" customWidth="1"/>
    <col min="14850" max="14850" width="15.33203125" style="485" customWidth="1"/>
    <col min="14851" max="14851" width="15.5" style="485" customWidth="1"/>
    <col min="14852" max="15100" width="10.6640625" style="485"/>
    <col min="15101" max="15101" width="7" style="485" customWidth="1"/>
    <col min="15102" max="15102" width="34.5" style="485" customWidth="1"/>
    <col min="15103" max="15103" width="11" style="485" customWidth="1"/>
    <col min="15104" max="15104" width="16.83203125" style="485" customWidth="1"/>
    <col min="15105" max="15105" width="17.1640625" style="485" customWidth="1"/>
    <col min="15106" max="15106" width="15.33203125" style="485" customWidth="1"/>
    <col min="15107" max="15107" width="15.5" style="485" customWidth="1"/>
    <col min="15108" max="15356" width="10.6640625" style="485"/>
    <col min="15357" max="15357" width="7" style="485" customWidth="1"/>
    <col min="15358" max="15358" width="34.5" style="485" customWidth="1"/>
    <col min="15359" max="15359" width="11" style="485" customWidth="1"/>
    <col min="15360" max="15360" width="16.83203125" style="485" customWidth="1"/>
    <col min="15361" max="15361" width="17.1640625" style="485" customWidth="1"/>
    <col min="15362" max="15362" width="15.33203125" style="485" customWidth="1"/>
    <col min="15363" max="15363" width="15.5" style="485" customWidth="1"/>
    <col min="15364" max="15612" width="10.6640625" style="485"/>
    <col min="15613" max="15613" width="7" style="485" customWidth="1"/>
    <col min="15614" max="15614" width="34.5" style="485" customWidth="1"/>
    <col min="15615" max="15615" width="11" style="485" customWidth="1"/>
    <col min="15616" max="15616" width="16.83203125" style="485" customWidth="1"/>
    <col min="15617" max="15617" width="17.1640625" style="485" customWidth="1"/>
    <col min="15618" max="15618" width="15.33203125" style="485" customWidth="1"/>
    <col min="15619" max="15619" width="15.5" style="485" customWidth="1"/>
    <col min="15620" max="15868" width="10.6640625" style="485"/>
    <col min="15869" max="15869" width="7" style="485" customWidth="1"/>
    <col min="15870" max="15870" width="34.5" style="485" customWidth="1"/>
    <col min="15871" max="15871" width="11" style="485" customWidth="1"/>
    <col min="15872" max="15872" width="16.83203125" style="485" customWidth="1"/>
    <col min="15873" max="15873" width="17.1640625" style="485" customWidth="1"/>
    <col min="15874" max="15874" width="15.33203125" style="485" customWidth="1"/>
    <col min="15875" max="15875" width="15.5" style="485" customWidth="1"/>
    <col min="15876" max="16124" width="10.6640625" style="485"/>
    <col min="16125" max="16125" width="7" style="485" customWidth="1"/>
    <col min="16126" max="16126" width="34.5" style="485" customWidth="1"/>
    <col min="16127" max="16127" width="11" style="485" customWidth="1"/>
    <col min="16128" max="16128" width="16.83203125" style="485" customWidth="1"/>
    <col min="16129" max="16129" width="17.1640625" style="485" customWidth="1"/>
    <col min="16130" max="16130" width="15.33203125" style="485" customWidth="1"/>
    <col min="16131" max="16131" width="15.5" style="485" customWidth="1"/>
    <col min="16132" max="16384" width="10.6640625" style="485"/>
  </cols>
  <sheetData>
    <row r="1" spans="1:3" ht="40.5" customHeight="1" x14ac:dyDescent="0.2">
      <c r="A1" s="1140" t="s">
        <v>731</v>
      </c>
      <c r="B1" s="1141"/>
      <c r="C1" s="1141"/>
    </row>
    <row r="2" spans="1:3" x14ac:dyDescent="0.2">
      <c r="A2" s="1090"/>
      <c r="B2" s="1090"/>
      <c r="C2" s="501" t="s">
        <v>1</v>
      </c>
    </row>
    <row r="3" spans="1:3" s="487" customFormat="1" ht="14.25" x14ac:dyDescent="0.2">
      <c r="A3" s="490" t="s">
        <v>496</v>
      </c>
      <c r="B3" s="491" t="s">
        <v>558</v>
      </c>
      <c r="C3" s="492" t="s">
        <v>500</v>
      </c>
    </row>
    <row r="4" spans="1:3" s="488" customFormat="1" ht="15" x14ac:dyDescent="0.25">
      <c r="A4" s="493" t="s">
        <v>9</v>
      </c>
      <c r="B4" s="494" t="s">
        <v>548</v>
      </c>
      <c r="C4" s="495"/>
    </row>
    <row r="5" spans="1:3" s="488" customFormat="1" ht="15" x14ac:dyDescent="0.25">
      <c r="A5" s="493" t="s">
        <v>12</v>
      </c>
      <c r="B5" s="494" t="s">
        <v>547</v>
      </c>
      <c r="C5" s="495">
        <v>200000</v>
      </c>
    </row>
    <row r="6" spans="1:3" s="488" customFormat="1" ht="15" x14ac:dyDescent="0.25">
      <c r="A6" s="493" t="s">
        <v>15</v>
      </c>
      <c r="B6" s="494" t="s">
        <v>549</v>
      </c>
      <c r="C6" s="495"/>
    </row>
    <row r="7" spans="1:3" s="488" customFormat="1" ht="15" x14ac:dyDescent="0.25">
      <c r="A7" s="493" t="s">
        <v>18</v>
      </c>
      <c r="B7" s="494" t="s">
        <v>550</v>
      </c>
      <c r="C7" s="495">
        <v>100000</v>
      </c>
    </row>
    <row r="8" spans="1:3" s="488" customFormat="1" ht="15" x14ac:dyDescent="0.25">
      <c r="A8" s="493" t="s">
        <v>21</v>
      </c>
      <c r="B8" s="494" t="s">
        <v>633</v>
      </c>
      <c r="C8" s="495">
        <v>1500000</v>
      </c>
    </row>
    <row r="9" spans="1:3" s="488" customFormat="1" ht="15" x14ac:dyDescent="0.25">
      <c r="A9" s="493" t="s">
        <v>24</v>
      </c>
      <c r="B9" s="496" t="s">
        <v>872</v>
      </c>
      <c r="C9" s="497">
        <v>100000</v>
      </c>
    </row>
    <row r="10" spans="1:3" s="488" customFormat="1" ht="15" x14ac:dyDescent="0.25">
      <c r="A10" s="493" t="s">
        <v>27</v>
      </c>
      <c r="B10" s="496" t="s">
        <v>546</v>
      </c>
      <c r="C10" s="497">
        <v>1200000</v>
      </c>
    </row>
    <row r="11" spans="1:3" s="484" customFormat="1" ht="14.25" x14ac:dyDescent="0.2">
      <c r="A11" s="498"/>
      <c r="B11" s="499" t="s">
        <v>480</v>
      </c>
      <c r="C11" s="500">
        <f>SUM(C4:C10)</f>
        <v>3100000</v>
      </c>
    </row>
    <row r="12" spans="1:3" s="484" customFormat="1" x14ac:dyDescent="0.2">
      <c r="A12" s="489"/>
      <c r="B12" s="489"/>
      <c r="C12" s="483"/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1"/>
  <sheetViews>
    <sheetView view="pageBreakPreview" zoomScale="60" zoomScaleNormal="100" workbookViewId="0">
      <selection activeCell="C9" sqref="C9"/>
    </sheetView>
  </sheetViews>
  <sheetFormatPr defaultColWidth="9.33203125" defaultRowHeight="15.75" x14ac:dyDescent="0.25"/>
  <cols>
    <col min="1" max="1" width="38" style="120" customWidth="1"/>
    <col min="2" max="2" width="17" style="120" customWidth="1"/>
    <col min="3" max="3" width="13" style="120" customWidth="1"/>
    <col min="4" max="4" width="17" style="120" customWidth="1"/>
    <col min="5" max="5" width="12.6640625" style="120" customWidth="1"/>
    <col min="6" max="6" width="17" style="120" customWidth="1"/>
    <col min="7" max="7" width="12.33203125" style="120" customWidth="1"/>
    <col min="8" max="8" width="17" style="120" customWidth="1"/>
    <col min="9" max="9" width="12.33203125" style="120" customWidth="1"/>
    <col min="10" max="10" width="16" style="120" customWidth="1"/>
    <col min="11" max="11" width="12" style="120" customWidth="1"/>
    <col min="12" max="12" width="17" style="120" customWidth="1"/>
    <col min="13" max="13" width="12.83203125" style="120" customWidth="1"/>
    <col min="14" max="14" width="13.6640625" style="120" customWidth="1"/>
    <col min="15" max="16" width="12" style="120" customWidth="1"/>
    <col min="17" max="16384" width="9.33203125" style="120"/>
  </cols>
  <sheetData>
    <row r="1" spans="1:19" ht="57.75" customHeight="1" x14ac:dyDescent="0.25">
      <c r="A1" s="1142" t="s">
        <v>732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31"/>
      <c r="N1" s="131"/>
      <c r="O1" s="131"/>
      <c r="P1" s="131"/>
    </row>
    <row r="2" spans="1:19" ht="1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143"/>
      <c r="P2" s="1143"/>
      <c r="Q2" s="121"/>
    </row>
    <row r="3" spans="1:19" ht="16.5" customHeight="1" x14ac:dyDescent="0.25">
      <c r="A3" s="127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32" t="s">
        <v>1</v>
      </c>
      <c r="M3" s="124"/>
      <c r="N3" s="128"/>
      <c r="O3" s="128"/>
      <c r="P3" s="128"/>
      <c r="Q3" s="121"/>
      <c r="R3" s="121"/>
      <c r="S3" s="121"/>
    </row>
    <row r="4" spans="1:19" ht="30" customHeight="1" x14ac:dyDescent="0.25">
      <c r="A4" s="1144" t="s">
        <v>262</v>
      </c>
      <c r="B4" s="1152" t="s">
        <v>563</v>
      </c>
      <c r="C4" s="1153"/>
      <c r="D4" s="1152" t="s">
        <v>565</v>
      </c>
      <c r="E4" s="1153"/>
      <c r="F4" s="1146" t="s">
        <v>566</v>
      </c>
      <c r="G4" s="1147"/>
      <c r="H4" s="1148" t="s">
        <v>376</v>
      </c>
      <c r="I4" s="1149"/>
      <c r="J4" s="1148" t="s">
        <v>485</v>
      </c>
      <c r="K4" s="1154"/>
      <c r="L4" s="1150" t="s">
        <v>372</v>
      </c>
      <c r="M4" s="124"/>
      <c r="N4" s="125"/>
      <c r="O4" s="125"/>
      <c r="P4" s="128"/>
      <c r="Q4" s="121"/>
      <c r="R4" s="121"/>
      <c r="S4" s="121"/>
    </row>
    <row r="5" spans="1:19" ht="62.25" customHeight="1" x14ac:dyDescent="0.25">
      <c r="A5" s="1145"/>
      <c r="B5" s="129" t="s">
        <v>562</v>
      </c>
      <c r="C5" s="129" t="s">
        <v>374</v>
      </c>
      <c r="D5" s="129" t="s">
        <v>561</v>
      </c>
      <c r="E5" s="129" t="s">
        <v>374</v>
      </c>
      <c r="F5" s="130" t="s">
        <v>373</v>
      </c>
      <c r="G5" s="129" t="s">
        <v>374</v>
      </c>
      <c r="H5" s="129" t="s">
        <v>377</v>
      </c>
      <c r="I5" s="129" t="s">
        <v>374</v>
      </c>
      <c r="J5" s="525" t="s">
        <v>564</v>
      </c>
      <c r="K5" s="787" t="s">
        <v>374</v>
      </c>
      <c r="L5" s="1151"/>
      <c r="M5" s="126"/>
      <c r="N5" s="126"/>
      <c r="O5" s="126"/>
      <c r="P5" s="128"/>
      <c r="Q5" s="121"/>
      <c r="R5" s="121"/>
      <c r="S5" s="121"/>
    </row>
    <row r="6" spans="1:19" ht="32.25" customHeight="1" x14ac:dyDescent="0.25">
      <c r="A6" s="1011" t="s">
        <v>718</v>
      </c>
      <c r="B6" s="1075"/>
      <c r="C6" s="1009" t="e">
        <f>ROUND(B6/L6*100,1)</f>
        <v>#REF!</v>
      </c>
      <c r="D6" s="1009"/>
      <c r="E6" s="1009" t="e">
        <f>ROUND(D6/L6*100,1)</f>
        <v>#REF!</v>
      </c>
      <c r="F6" s="1009"/>
      <c r="G6" s="1009" t="e">
        <f>ROUND((F6/L6)*100,1)</f>
        <v>#REF!</v>
      </c>
      <c r="H6" s="1010" t="e">
        <f>#REF!</f>
        <v>#REF!</v>
      </c>
      <c r="I6" s="1009" t="e">
        <f>ROUND((H6/L6)*100,1)</f>
        <v>#REF!</v>
      </c>
      <c r="J6" s="1076" t="e">
        <f>#REF!</f>
        <v>#REF!</v>
      </c>
      <c r="K6" s="1077" t="e">
        <f>ROUND((J6/L6)*100,1)</f>
        <v>#REF!</v>
      </c>
      <c r="L6" s="783" t="e">
        <f>B6+D6+F6+H6+J6</f>
        <v>#REF!</v>
      </c>
    </row>
    <row r="7" spans="1:19" ht="32.25" customHeight="1" x14ac:dyDescent="0.25">
      <c r="A7" s="1074" t="s">
        <v>719</v>
      </c>
      <c r="B7" s="1079" t="e">
        <f>#REF!</f>
        <v>#REF!</v>
      </c>
      <c r="C7" s="1072" t="e">
        <f>ROUND(B7/L7*100,1)</f>
        <v>#REF!</v>
      </c>
      <c r="D7" s="1073" t="e">
        <f>#REF!+#REF!</f>
        <v>#REF!</v>
      </c>
      <c r="E7" s="1072" t="e">
        <f>ROUND(D7/L7*100,1)</f>
        <v>#REF!</v>
      </c>
      <c r="F7" s="1072" t="e">
        <f>#REF!</f>
        <v>#REF!</v>
      </c>
      <c r="G7" s="1072" t="e">
        <f>ROUND((F7/L7)*100,1)</f>
        <v>#REF!</v>
      </c>
      <c r="H7" s="1073" t="e">
        <f>#REF!</f>
        <v>#REF!</v>
      </c>
      <c r="I7" s="1072" t="e">
        <f>ROUND((H7/L7)*100,1)</f>
        <v>#REF!</v>
      </c>
      <c r="J7" s="1073" t="e">
        <f>#REF!</f>
        <v>#REF!</v>
      </c>
      <c r="K7" s="1080" t="e">
        <f>ROUND((J7/L7)*100,1)</f>
        <v>#REF!</v>
      </c>
      <c r="L7" s="783" t="e">
        <f t="shared" ref="L7:L8" si="0">B7+D7+F7+H7+J7</f>
        <v>#REF!</v>
      </c>
    </row>
    <row r="8" spans="1:19" ht="27" customHeight="1" x14ac:dyDescent="0.25">
      <c r="A8" s="1012" t="s">
        <v>720</v>
      </c>
      <c r="B8" s="1071"/>
      <c r="C8" s="559"/>
      <c r="D8" s="1071" t="e">
        <f>#REF!</f>
        <v>#REF!</v>
      </c>
      <c r="E8" s="559" t="e">
        <f>ROUND(D8/L8*100,1)</f>
        <v>#REF!</v>
      </c>
      <c r="F8" s="1071"/>
      <c r="G8" s="559" t="e">
        <f>ROUND((F8/L8)*100,1)</f>
        <v>#REF!</v>
      </c>
      <c r="H8" s="1071" t="e">
        <f>#REF!</f>
        <v>#REF!</v>
      </c>
      <c r="I8" s="559" t="e">
        <f>ROUND((H8/L8)*100,1)</f>
        <v>#REF!</v>
      </c>
      <c r="J8" s="1078" t="e">
        <f>#REF!</f>
        <v>#REF!</v>
      </c>
      <c r="K8" s="789" t="e">
        <f>ROUND((J8/L8)*100,1)</f>
        <v>#REF!</v>
      </c>
      <c r="L8" s="783" t="e">
        <f t="shared" si="0"/>
        <v>#REF!</v>
      </c>
    </row>
    <row r="9" spans="1:19" ht="40.5" customHeight="1" x14ac:dyDescent="0.25">
      <c r="A9" s="123" t="s">
        <v>378</v>
      </c>
      <c r="B9" s="122" t="e">
        <f>SUM(B6:B8)</f>
        <v>#REF!</v>
      </c>
      <c r="C9" s="558" t="e">
        <f>ROUND(B9/L9*100,1)</f>
        <v>#REF!</v>
      </c>
      <c r="D9" s="122" t="e">
        <f>SUM(D6:D8)</f>
        <v>#REF!</v>
      </c>
      <c r="E9" s="558" t="e">
        <f>ROUND(D9/L9*100,1)</f>
        <v>#REF!</v>
      </c>
      <c r="F9" s="556" t="e">
        <f>SUM(F6:F8)</f>
        <v>#REF!</v>
      </c>
      <c r="G9" s="558" t="e">
        <f>ROUND((F9/L9)*100,1)</f>
        <v>#REF!</v>
      </c>
      <c r="H9" s="556" t="e">
        <f>SUM(H6:H8)</f>
        <v>#REF!</v>
      </c>
      <c r="I9" s="558" t="e">
        <f>ROUND((H9/L9)*100,1)</f>
        <v>#REF!</v>
      </c>
      <c r="J9" s="526" t="e">
        <f>SUM(J6:J8)</f>
        <v>#REF!</v>
      </c>
      <c r="K9" s="788" t="e">
        <f>ROUND((J9/L9)*100,1)</f>
        <v>#REF!</v>
      </c>
      <c r="L9" s="784" t="e">
        <f>B9+D9+F9+H9+J9</f>
        <v>#REF!</v>
      </c>
    </row>
    <row r="10" spans="1:19" ht="42.75" customHeight="1" x14ac:dyDescent="0.25">
      <c r="A10" s="1013" t="s">
        <v>733</v>
      </c>
      <c r="B10" s="527">
        <v>0</v>
      </c>
      <c r="C10" s="559" t="e">
        <f>ROUND(B10/L10*100,1)</f>
        <v>#REF!</v>
      </c>
      <c r="D10" s="527" t="e">
        <f>#REF!+#REF!+#REF!</f>
        <v>#REF!</v>
      </c>
      <c r="E10" s="559" t="e">
        <f>ROUND(D10/L10*100,1)</f>
        <v>#REF!</v>
      </c>
      <c r="F10" s="527" t="e">
        <f>#REF!+#REF!</f>
        <v>#REF!</v>
      </c>
      <c r="G10" s="559" t="e">
        <f>ROUND((F10/L10)*100,1)</f>
        <v>#REF!</v>
      </c>
      <c r="H10" s="527">
        <v>-66912407</v>
      </c>
      <c r="I10" s="559"/>
      <c r="J10" s="557" t="e">
        <f>#REF!</f>
        <v>#REF!</v>
      </c>
      <c r="K10" s="789" t="e">
        <f>ROUND((J10/L10)*100,1)</f>
        <v>#REF!</v>
      </c>
      <c r="L10" s="785" t="e">
        <f t="shared" ref="L10:L11" si="1">B10+D10+F10+H10+J10</f>
        <v>#REF!</v>
      </c>
    </row>
    <row r="11" spans="1:19" ht="65.25" customHeight="1" x14ac:dyDescent="0.25">
      <c r="A11" s="555" t="s">
        <v>379</v>
      </c>
      <c r="B11" s="556" t="e">
        <f>SUM(B9:B10)</f>
        <v>#REF!</v>
      </c>
      <c r="C11" s="558" t="e">
        <f t="shared" ref="C11" si="2">ROUND(B11/L11*100,2)</f>
        <v>#REF!</v>
      </c>
      <c r="D11" s="556" t="e">
        <f>SUM(D9:D10)</f>
        <v>#REF!</v>
      </c>
      <c r="E11" s="558" t="e">
        <f>ROUND(D11/L11*100,2)</f>
        <v>#REF!</v>
      </c>
      <c r="F11" s="556" t="e">
        <f>SUM(F9:F10)</f>
        <v>#REF!</v>
      </c>
      <c r="G11" s="558" t="e">
        <f t="shared" ref="G11" si="3">ROUND((F11/L11)*100,2)</f>
        <v>#REF!</v>
      </c>
      <c r="H11" s="556" t="e">
        <f>SUM(H9:H10)</f>
        <v>#REF!</v>
      </c>
      <c r="I11" s="558" t="e">
        <f>ROUND((H11/L11)*100,2)</f>
        <v>#REF!</v>
      </c>
      <c r="J11" s="556" t="e">
        <f>SUM(J9:J10)</f>
        <v>#REF!</v>
      </c>
      <c r="K11" s="788" t="e">
        <f>ROUND((J11/L11)*100,2)</f>
        <v>#REF!</v>
      </c>
      <c r="L11" s="786" t="e">
        <f t="shared" si="1"/>
        <v>#REF!</v>
      </c>
    </row>
  </sheetData>
  <sheetProtection algorithmName="SHA-512" hashValue="zdp6rDGhghmvcvD9OxOQQhhHqVPH5u61pneLtu7V7/jfJ4P5C6+f45TUVU20gbVsEOvrOM69M9OgTqwSAhFuKA==" saltValue="xbc4Rer08PNO5/79on8rLQ==" spinCount="100000" sheet="1" objects="1" scenarios="1" selectLockedCells="1" selectUnlockedCells="1"/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8</vt:i4>
      </vt:variant>
    </vt:vector>
  </HeadingPairs>
  <TitlesOfParts>
    <vt:vector size="47" baseType="lpstr">
      <vt:lpstr>Címrend</vt:lpstr>
      <vt:lpstr>1. sz. mell. módosított</vt:lpstr>
      <vt:lpstr>2. sz. mell. módosított</vt:lpstr>
      <vt:lpstr>3. sz. mell. módosított</vt:lpstr>
      <vt:lpstr>4. sz.mell</vt:lpstr>
      <vt:lpstr>5.sz.mell</vt:lpstr>
      <vt:lpstr>6.sz.mell</vt:lpstr>
      <vt:lpstr>6. melléklet</vt:lpstr>
      <vt:lpstr>7.sz.mell.</vt:lpstr>
      <vt:lpstr>8.sz.mell. </vt:lpstr>
      <vt:lpstr>9.1.sz.mell</vt:lpstr>
      <vt:lpstr>9.2.sz.mell</vt:lpstr>
      <vt:lpstr>Önk. személyi</vt:lpstr>
      <vt:lpstr>Önk. dologi és felh.</vt:lpstr>
      <vt:lpstr>9. sz. mell. módosított</vt:lpstr>
      <vt:lpstr>10.1.sz.mell</vt:lpstr>
      <vt:lpstr>10.2.sz.mell</vt:lpstr>
      <vt:lpstr>Hivatal személyi</vt:lpstr>
      <vt:lpstr>Hivatal Dologi és felh.</vt:lpstr>
      <vt:lpstr>10. sz. mell módosított</vt:lpstr>
      <vt:lpstr>11.1.sz.mell</vt:lpstr>
      <vt:lpstr>11.2.sz.mell</vt:lpstr>
      <vt:lpstr>MKP személyi</vt:lpstr>
      <vt:lpstr>MKP dologi és felh.</vt:lpstr>
      <vt:lpstr>11. sz. mell. módosított</vt:lpstr>
      <vt:lpstr>12.1.sz.mell</vt:lpstr>
      <vt:lpstr>12.2.sz.mell</vt:lpstr>
      <vt:lpstr>Óvoda személyi</vt:lpstr>
      <vt:lpstr>Óvoda dologi és felh.</vt:lpstr>
      <vt:lpstr>12. sz. mell módosított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'9.1.sz.mell'!Nyomtatási_cím</vt:lpstr>
      <vt:lpstr>'9.2.sz.mell'!Nyomtatási_cím</vt:lpstr>
      <vt:lpstr>'16.sz.mell'!Nyomtatási_terület</vt:lpstr>
      <vt:lpstr>'17.sz.mell'!Nyomtatási_terület</vt:lpstr>
      <vt:lpstr>'4. sz.mell'!Nyomtatási_terület</vt:lpstr>
      <vt:lpstr>'7.sz.mell.'!Nyomtatási_terület</vt:lpstr>
      <vt:lpstr>'9.1.sz.mell'!Nyomtatási_terület</vt:lpstr>
      <vt:lpstr>'9.2.sz.mell'!Nyomtatási_terület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2018-02-14T11:56:07Z</cp:lastPrinted>
  <dcterms:created xsi:type="dcterms:W3CDTF">2017-01-30T13:11:32Z</dcterms:created>
  <dcterms:modified xsi:type="dcterms:W3CDTF">2018-09-06T12:21:10Z</dcterms:modified>
</cp:coreProperties>
</file>